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CBPRINT.CONCEJOBTA.LOC\comisiones\PLAN\PERIODO CONST 2024-2027\PERIODO 2025\PROPOSICIONES 2025\CUESTIONARIOS\873 DE 2025\RESPUESTAS\MANTENIMIENTO VIAL\"/>
    </mc:Choice>
  </mc:AlternateContent>
  <bookViews>
    <workbookView xWindow="0" yWindow="0" windowWidth="20490" windowHeight="7620" firstSheet="4" activeTab="4"/>
  </bookViews>
  <sheets>
    <sheet name="Metas PDD y proyectos" sheetId="6" state="hidden" r:id="rId1"/>
    <sheet name="Metas PDD y proyectos (2)" sheetId="7" state="hidden" r:id="rId2"/>
    <sheet name="Hoja3" sheetId="17" state="hidden" r:id="rId3"/>
    <sheet name="Metas PDD y proyectos Oct Secto" sheetId="16" state="hidden" r:id="rId4"/>
    <sheet name="Meta_Recursos_Ciclo" sheetId="21" r:id="rId5"/>
    <sheet name="Hoja2" sheetId="14" state="hidden" r:id="rId6"/>
    <sheet name="Metas PDD y proyectos DIC (2)" sheetId="12" state="hidden" r:id="rId7"/>
    <sheet name="Hoja1" sheetId="11" state="hidden" r:id="rId8"/>
    <sheet name="Inversión" sheetId="10" state="hidden" r:id="rId9"/>
    <sheet name="Gestión" sheetId="9" state="hidden" r:id="rId10"/>
  </sheets>
  <externalReferences>
    <externalReference r:id="rId11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4" i="21" l="1"/>
  <c r="T4" i="21"/>
  <c r="W5" i="21"/>
  <c r="T5" i="21"/>
  <c r="Q5" i="21" l="1"/>
  <c r="O4" i="21"/>
  <c r="N5" i="21"/>
  <c r="K5" i="21"/>
  <c r="H5" i="21"/>
  <c r="E5" i="21"/>
  <c r="N4" i="21"/>
  <c r="K4" i="21"/>
  <c r="H4" i="21"/>
  <c r="E4" i="21"/>
  <c r="U21" i="16"/>
  <c r="U31" i="16"/>
  <c r="U29" i="16"/>
  <c r="U27" i="16"/>
  <c r="U25" i="16"/>
  <c r="U23" i="16"/>
  <c r="U19" i="16"/>
  <c r="U17" i="16"/>
  <c r="U15" i="16"/>
  <c r="U13" i="16"/>
  <c r="U11" i="16"/>
  <c r="U5" i="16"/>
  <c r="T31" i="16"/>
  <c r="T29" i="16"/>
  <c r="T27" i="16"/>
  <c r="T25" i="16"/>
  <c r="T23" i="16"/>
  <c r="T19" i="16"/>
  <c r="T17" i="16"/>
  <c r="T15" i="16"/>
  <c r="T13" i="16"/>
  <c r="T11" i="16"/>
  <c r="T9" i="16"/>
  <c r="T7" i="16"/>
  <c r="T6" i="16"/>
  <c r="U6" i="16"/>
  <c r="U4" i="16"/>
  <c r="U9" i="16"/>
  <c r="U7" i="16"/>
  <c r="T21" i="16"/>
  <c r="U18" i="16"/>
  <c r="W18" i="16"/>
  <c r="U20" i="16"/>
  <c r="V20" i="16"/>
  <c r="P20" i="16"/>
  <c r="O21" i="16"/>
  <c r="N21" i="16"/>
  <c r="P21" i="16"/>
  <c r="U14" i="16"/>
  <c r="U12" i="16"/>
  <c r="V6" i="16"/>
  <c r="V7" i="16"/>
  <c r="T16" i="16"/>
  <c r="T14" i="16"/>
  <c r="T12" i="16"/>
  <c r="V12" i="16"/>
  <c r="T10" i="16"/>
  <c r="T8" i="16"/>
  <c r="V5" i="16"/>
  <c r="T5" i="16"/>
  <c r="O9" i="16"/>
  <c r="O8" i="16"/>
  <c r="N9" i="16"/>
  <c r="N8" i="16"/>
  <c r="P31" i="16"/>
  <c r="M31" i="16"/>
  <c r="J31" i="16"/>
  <c r="G31" i="16"/>
  <c r="U30" i="16"/>
  <c r="T30" i="16"/>
  <c r="P30" i="16"/>
  <c r="M30" i="16"/>
  <c r="J30" i="16"/>
  <c r="G30" i="16"/>
  <c r="P29" i="16"/>
  <c r="M29" i="16"/>
  <c r="J29" i="16"/>
  <c r="G29" i="16"/>
  <c r="U28" i="16"/>
  <c r="T28" i="16"/>
  <c r="P28" i="16"/>
  <c r="M28" i="16"/>
  <c r="J28" i="16"/>
  <c r="G28" i="16"/>
  <c r="P27" i="16"/>
  <c r="M27" i="16"/>
  <c r="J27" i="16"/>
  <c r="G27" i="16"/>
  <c r="U26" i="16"/>
  <c r="T26" i="16"/>
  <c r="P26" i="16"/>
  <c r="M26" i="16"/>
  <c r="J26" i="16"/>
  <c r="G26" i="16"/>
  <c r="P25" i="16"/>
  <c r="M25" i="16"/>
  <c r="J25" i="16"/>
  <c r="G25" i="16"/>
  <c r="U24" i="16"/>
  <c r="T24" i="16"/>
  <c r="P24" i="16"/>
  <c r="M24" i="16"/>
  <c r="J24" i="16"/>
  <c r="G24" i="16"/>
  <c r="P23" i="16"/>
  <c r="M23" i="16"/>
  <c r="J23" i="16"/>
  <c r="G23" i="16"/>
  <c r="U22" i="16"/>
  <c r="T22" i="16"/>
  <c r="P22" i="16"/>
  <c r="M22" i="16"/>
  <c r="J22" i="16"/>
  <c r="G22" i="16"/>
  <c r="P19" i="16"/>
  <c r="M19" i="16"/>
  <c r="J19" i="16"/>
  <c r="G19" i="16"/>
  <c r="V18" i="16"/>
  <c r="P18" i="16"/>
  <c r="M18" i="16"/>
  <c r="J18" i="16"/>
  <c r="G18" i="16"/>
  <c r="P17" i="16"/>
  <c r="M17" i="16"/>
  <c r="J17" i="16"/>
  <c r="G17" i="16"/>
  <c r="Z16" i="16"/>
  <c r="X16" i="16"/>
  <c r="X17" i="16"/>
  <c r="U16" i="16"/>
  <c r="P16" i="16"/>
  <c r="M16" i="16"/>
  <c r="J16" i="16"/>
  <c r="G16" i="16"/>
  <c r="Z15" i="16"/>
  <c r="X15" i="16"/>
  <c r="V15" i="16"/>
  <c r="P15" i="16"/>
  <c r="M15" i="16"/>
  <c r="J15" i="16"/>
  <c r="G15" i="16"/>
  <c r="P14" i="16"/>
  <c r="M14" i="16"/>
  <c r="J14" i="16"/>
  <c r="G14" i="16"/>
  <c r="P13" i="16"/>
  <c r="M13" i="16"/>
  <c r="J13" i="16"/>
  <c r="G13" i="16"/>
  <c r="P12" i="16"/>
  <c r="M12" i="16"/>
  <c r="J12" i="16"/>
  <c r="G12" i="16"/>
  <c r="Q11" i="16"/>
  <c r="P11" i="16"/>
  <c r="M11" i="16"/>
  <c r="J11" i="16"/>
  <c r="G11" i="16"/>
  <c r="X10" i="16"/>
  <c r="U10" i="16"/>
  <c r="P10" i="16"/>
  <c r="M10" i="16"/>
  <c r="J10" i="16"/>
  <c r="G10" i="16"/>
  <c r="P7" i="16"/>
  <c r="M7" i="16"/>
  <c r="J7" i="16"/>
  <c r="G7" i="16"/>
  <c r="P6" i="16"/>
  <c r="M6" i="16"/>
  <c r="J6" i="16"/>
  <c r="G6" i="16"/>
  <c r="P5" i="16"/>
  <c r="M5" i="16"/>
  <c r="J5" i="16"/>
  <c r="T4" i="16"/>
  <c r="W4" i="16"/>
  <c r="N4" i="16"/>
  <c r="P4" i="16"/>
  <c r="M4" i="16"/>
  <c r="J4" i="16"/>
  <c r="V4" i="16"/>
  <c r="V19" i="16"/>
  <c r="W6" i="16"/>
  <c r="W16" i="16"/>
  <c r="V13" i="16"/>
  <c r="V22" i="16"/>
  <c r="V30" i="16"/>
  <c r="V27" i="16"/>
  <c r="V31" i="16"/>
  <c r="V14" i="16"/>
  <c r="V10" i="16"/>
  <c r="U8" i="16"/>
  <c r="V8" i="16"/>
  <c r="V9" i="16"/>
  <c r="V24" i="16"/>
  <c r="V28" i="16"/>
  <c r="V25" i="16"/>
  <c r="V26" i="16"/>
  <c r="V29" i="16"/>
  <c r="V23" i="16"/>
  <c r="V21" i="16"/>
  <c r="P8" i="16"/>
  <c r="P9" i="16"/>
  <c r="Z17" i="16"/>
  <c r="V17" i="16"/>
  <c r="V16" i="16"/>
  <c r="Y7" i="16"/>
  <c r="Y13" i="16"/>
  <c r="V11" i="16"/>
  <c r="Y10" i="16"/>
  <c r="W8" i="16"/>
  <c r="AB7" i="16"/>
  <c r="Z10" i="16"/>
  <c r="Y5" i="16"/>
  <c r="G5" i="14"/>
  <c r="G4" i="14"/>
  <c r="G3" i="14"/>
  <c r="F5" i="14"/>
  <c r="E5" i="14"/>
  <c r="U7" i="12"/>
  <c r="U6" i="12"/>
  <c r="U5" i="12"/>
  <c r="U4" i="12"/>
  <c r="U8" i="12"/>
  <c r="V8" i="12"/>
  <c r="T8" i="12"/>
  <c r="P7" i="12"/>
  <c r="P6" i="12"/>
  <c r="P5" i="12"/>
  <c r="P4" i="12"/>
  <c r="L8" i="12"/>
  <c r="M8" i="12"/>
  <c r="S8" i="12"/>
  <c r="R8" i="12"/>
  <c r="Q8" i="12"/>
  <c r="O8" i="12"/>
  <c r="P8" i="12"/>
  <c r="N8" i="12"/>
  <c r="K8" i="12"/>
  <c r="I8" i="12"/>
  <c r="J8" i="12"/>
  <c r="H8" i="12"/>
  <c r="F8" i="12"/>
  <c r="G8" i="12"/>
  <c r="E8" i="12"/>
  <c r="T7" i="12"/>
  <c r="M7" i="12"/>
  <c r="J7" i="12"/>
  <c r="G7" i="12"/>
  <c r="T6" i="12"/>
  <c r="M6" i="12"/>
  <c r="J6" i="12"/>
  <c r="G6" i="12"/>
  <c r="T5" i="12"/>
  <c r="M5" i="12"/>
  <c r="J5" i="12"/>
  <c r="G5" i="12"/>
  <c r="T4" i="12"/>
  <c r="M4" i="12"/>
  <c r="J4" i="12"/>
  <c r="G4" i="12"/>
  <c r="V5" i="12"/>
  <c r="V4" i="12"/>
  <c r="V6" i="12"/>
  <c r="V7" i="12"/>
  <c r="D3" i="11"/>
  <c r="D15" i="11"/>
  <c r="D11" i="11"/>
  <c r="D10" i="11"/>
  <c r="D9" i="11"/>
  <c r="F25" i="9"/>
  <c r="F5" i="9"/>
  <c r="F4" i="9"/>
  <c r="F41" i="10"/>
  <c r="F32" i="10"/>
  <c r="F31" i="10"/>
  <c r="F14" i="10"/>
  <c r="F13" i="10"/>
  <c r="F5" i="10"/>
  <c r="F4" i="10"/>
  <c r="F22" i="10"/>
  <c r="F23" i="10"/>
  <c r="F42" i="10"/>
  <c r="F26" i="9"/>
  <c r="F29" i="9"/>
  <c r="G29" i="9" s="1"/>
  <c r="F33" i="10"/>
  <c r="F15" i="9" s="1"/>
  <c r="F24" i="10"/>
  <c r="F15" i="10"/>
  <c r="F6" i="10"/>
  <c r="F6" i="9"/>
  <c r="F9" i="10"/>
  <c r="F9" i="9"/>
  <c r="G9" i="9" s="1"/>
  <c r="E45" i="10"/>
  <c r="D45" i="10"/>
  <c r="E36" i="10"/>
  <c r="D36" i="10"/>
  <c r="E27" i="10"/>
  <c r="D27" i="10"/>
  <c r="C27" i="10"/>
  <c r="I25" i="10"/>
  <c r="I24" i="10"/>
  <c r="G19" i="10"/>
  <c r="E18" i="10"/>
  <c r="D18" i="10"/>
  <c r="D17" i="10"/>
  <c r="I16" i="10"/>
  <c r="J16" i="10"/>
  <c r="C17" i="10"/>
  <c r="D15" i="10"/>
  <c r="C15" i="10"/>
  <c r="C18" i="10"/>
  <c r="E9" i="10"/>
  <c r="C9" i="10"/>
  <c r="I7" i="10"/>
  <c r="J7" i="10"/>
  <c r="D6" i="10"/>
  <c r="D9" i="10"/>
  <c r="E29" i="9"/>
  <c r="D29" i="9"/>
  <c r="E17" i="9"/>
  <c r="D17" i="9"/>
  <c r="C17" i="9"/>
  <c r="E16" i="9"/>
  <c r="D16" i="9"/>
  <c r="C16" i="9"/>
  <c r="E15" i="9"/>
  <c r="D15" i="9"/>
  <c r="D18" i="9" s="1"/>
  <c r="C15" i="9"/>
  <c r="E14" i="9"/>
  <c r="F14" i="9" s="1"/>
  <c r="E13" i="9"/>
  <c r="E18" i="9" s="1"/>
  <c r="F13" i="9"/>
  <c r="D14" i="9"/>
  <c r="D13" i="9"/>
  <c r="C14" i="9"/>
  <c r="C13" i="9"/>
  <c r="C18" i="9" s="1"/>
  <c r="E9" i="9"/>
  <c r="C9" i="9"/>
  <c r="D6" i="9"/>
  <c r="D9" i="9"/>
  <c r="J21" i="7"/>
  <c r="J20" i="7"/>
  <c r="G21" i="7"/>
  <c r="G20" i="7"/>
  <c r="I21" i="7"/>
  <c r="H21" i="7"/>
  <c r="F21" i="7"/>
  <c r="E21" i="7"/>
  <c r="J8" i="7"/>
  <c r="I9" i="7"/>
  <c r="J9" i="7"/>
  <c r="I8" i="7"/>
  <c r="H9" i="7"/>
  <c r="H8" i="7"/>
  <c r="F9" i="7"/>
  <c r="F8" i="7"/>
  <c r="G8" i="7"/>
  <c r="E9" i="7"/>
  <c r="E8" i="7"/>
  <c r="G9" i="7"/>
  <c r="J31" i="7"/>
  <c r="G31" i="7"/>
  <c r="J30" i="7"/>
  <c r="G30" i="7"/>
  <c r="J29" i="7"/>
  <c r="G29" i="7"/>
  <c r="J28" i="7"/>
  <c r="G28" i="7"/>
  <c r="J27" i="7"/>
  <c r="G27" i="7"/>
  <c r="J26" i="7"/>
  <c r="G26" i="7"/>
  <c r="J25" i="7"/>
  <c r="G25" i="7"/>
  <c r="J24" i="7"/>
  <c r="G24" i="7"/>
  <c r="J23" i="7"/>
  <c r="G23" i="7"/>
  <c r="J22" i="7"/>
  <c r="G22" i="7"/>
  <c r="J19" i="7"/>
  <c r="G19" i="7"/>
  <c r="J18" i="7"/>
  <c r="G18" i="7"/>
  <c r="J17" i="7"/>
  <c r="G17" i="7"/>
  <c r="J16" i="7"/>
  <c r="G16" i="7"/>
  <c r="J15" i="7"/>
  <c r="G15" i="7"/>
  <c r="J14" i="7"/>
  <c r="G14" i="7"/>
  <c r="J13" i="7"/>
  <c r="G13" i="7"/>
  <c r="J12" i="7"/>
  <c r="G12" i="7"/>
  <c r="J11" i="7"/>
  <c r="G11" i="7"/>
  <c r="J10" i="7"/>
  <c r="G10" i="7"/>
  <c r="J7" i="7"/>
  <c r="G7" i="7"/>
  <c r="J6" i="7"/>
  <c r="G6" i="7"/>
  <c r="J5" i="7"/>
  <c r="G5" i="7"/>
  <c r="J4" i="7"/>
  <c r="G4" i="7"/>
  <c r="N9" i="6"/>
  <c r="N8" i="6"/>
  <c r="P9" i="6"/>
  <c r="P8" i="6"/>
  <c r="O8" i="6"/>
  <c r="O9" i="6"/>
  <c r="O10" i="6"/>
  <c r="O11" i="6"/>
  <c r="O12" i="6"/>
  <c r="O13" i="6"/>
  <c r="O14" i="6"/>
  <c r="O15" i="6"/>
  <c r="O16" i="6"/>
  <c r="O17" i="6"/>
  <c r="O18" i="6"/>
  <c r="O19" i="6"/>
  <c r="O20" i="6"/>
  <c r="O21" i="6"/>
  <c r="O22" i="6"/>
  <c r="O23" i="6"/>
  <c r="O24" i="6"/>
  <c r="O25" i="6"/>
  <c r="O26" i="6"/>
  <c r="O27" i="6"/>
  <c r="O7" i="6"/>
  <c r="O6" i="6"/>
  <c r="O5" i="6"/>
  <c r="O4" i="6"/>
  <c r="M27" i="6"/>
  <c r="M26" i="6"/>
  <c r="M25" i="6"/>
  <c r="M24" i="6"/>
  <c r="M23" i="6"/>
  <c r="M22" i="6"/>
  <c r="M21" i="6"/>
  <c r="M20" i="6"/>
  <c r="M19" i="6"/>
  <c r="M18" i="6"/>
  <c r="M17" i="6"/>
  <c r="M16" i="6"/>
  <c r="M15" i="6"/>
  <c r="M14" i="6"/>
  <c r="M13" i="6"/>
  <c r="M12" i="6"/>
  <c r="M11" i="6"/>
  <c r="M10" i="6"/>
  <c r="M9" i="6"/>
  <c r="M8" i="6"/>
  <c r="M7" i="6"/>
  <c r="M6" i="6"/>
  <c r="M5" i="6"/>
  <c r="M4" i="6"/>
  <c r="J18" i="6"/>
  <c r="J27" i="6"/>
  <c r="G27" i="6"/>
  <c r="J26" i="6"/>
  <c r="G26" i="6"/>
  <c r="J25" i="6"/>
  <c r="G25" i="6"/>
  <c r="J24" i="6"/>
  <c r="G24" i="6"/>
  <c r="J23" i="6"/>
  <c r="G23" i="6"/>
  <c r="J22" i="6"/>
  <c r="G22" i="6"/>
  <c r="J21" i="6"/>
  <c r="G21" i="6"/>
  <c r="J20" i="6"/>
  <c r="G20" i="6"/>
  <c r="J19" i="6"/>
  <c r="G19" i="6"/>
  <c r="G18" i="6"/>
  <c r="J17" i="6"/>
  <c r="G17" i="6"/>
  <c r="J16" i="6"/>
  <c r="G16" i="6"/>
  <c r="J15" i="6"/>
  <c r="G15" i="6"/>
  <c r="J14" i="6"/>
  <c r="G14" i="6"/>
  <c r="J13" i="6"/>
  <c r="G13" i="6"/>
  <c r="J12" i="6"/>
  <c r="G12" i="6"/>
  <c r="J11" i="6"/>
  <c r="G11" i="6"/>
  <c r="J10" i="6"/>
  <c r="G10" i="6"/>
  <c r="J9" i="6"/>
  <c r="G9" i="6"/>
  <c r="J8" i="6"/>
  <c r="G8" i="6"/>
  <c r="J7" i="6"/>
  <c r="G7" i="6"/>
  <c r="J6" i="6"/>
  <c r="G6" i="6"/>
  <c r="J5" i="6"/>
  <c r="J4" i="6"/>
  <c r="F18" i="9" l="1"/>
  <c r="Q4" i="21"/>
  <c r="G18" i="9"/>
</calcChain>
</file>

<file path=xl/sharedStrings.xml><?xml version="1.0" encoding="utf-8"?>
<sst xmlns="http://schemas.openxmlformats.org/spreadsheetml/2006/main" count="380" uniqueCount="90">
  <si>
    <t>Progr</t>
  </si>
  <si>
    <t>Ejec</t>
  </si>
  <si>
    <t>% Ejec</t>
  </si>
  <si>
    <t>Magnitud</t>
  </si>
  <si>
    <t>Presupuesto</t>
  </si>
  <si>
    <t>Plan de Desarrollo UN NUEVO CONTRATO SOCIAL Y AMBIENTAL PARA LA BOGOTÁ DEL SIGLO XXI</t>
  </si>
  <si>
    <r>
      <t xml:space="preserve">Conservar </t>
    </r>
    <r>
      <rPr>
        <b/>
        <sz val="10"/>
        <color theme="1"/>
        <rFont val="Calibri"/>
        <family val="2"/>
        <scheme val="minor"/>
      </rPr>
      <t>1.505.155 m2</t>
    </r>
    <r>
      <rPr>
        <sz val="10"/>
        <color theme="1"/>
        <rFont val="Calibri"/>
        <family val="2"/>
        <scheme val="minor"/>
      </rPr>
      <t xml:space="preserve"> de espacio público</t>
    </r>
  </si>
  <si>
    <r>
      <t xml:space="preserve">Conservar </t>
    </r>
    <r>
      <rPr>
        <b/>
        <sz val="10"/>
        <color theme="1"/>
        <rFont val="Calibri"/>
        <family val="2"/>
        <scheme val="minor"/>
      </rPr>
      <t>190 km</t>
    </r>
    <r>
      <rPr>
        <sz val="10"/>
        <color theme="1"/>
        <rFont val="Calibri"/>
        <family val="2"/>
        <scheme val="minor"/>
      </rPr>
      <t xml:space="preserve"> de cicloinfraestructura</t>
    </r>
  </si>
  <si>
    <r>
      <t xml:space="preserve">Realizar actividades de conservación a </t>
    </r>
    <r>
      <rPr>
        <b/>
        <sz val="10"/>
        <color theme="1"/>
        <rFont val="Calibri"/>
        <family val="2"/>
        <scheme val="minor"/>
      </rPr>
      <t xml:space="preserve">2.308 km carril </t>
    </r>
    <r>
      <rPr>
        <sz val="10"/>
        <color theme="1"/>
        <rFont val="Calibri"/>
        <family val="2"/>
        <scheme val="minor"/>
      </rPr>
      <t>de malla vial</t>
    </r>
  </si>
  <si>
    <t>Metas PDD</t>
  </si>
  <si>
    <t>Metas Proyecto</t>
  </si>
  <si>
    <t>Proyecto</t>
  </si>
  <si>
    <t>7903 Apoyo a la adecuación y conservación del espacio público de Bogotá</t>
  </si>
  <si>
    <t>7858 Conservación de la Malla Vial Distrital y Cicloinfraestructura de Bogotá</t>
  </si>
  <si>
    <r>
      <t xml:space="preserve">Conservar </t>
    </r>
    <r>
      <rPr>
        <b/>
        <sz val="10"/>
        <color theme="1"/>
        <rFont val="Calibri"/>
        <family val="2"/>
        <scheme val="minor"/>
      </rPr>
      <t>80 Km-Carril</t>
    </r>
    <r>
      <rPr>
        <sz val="10"/>
        <color theme="1"/>
        <rFont val="Calibri"/>
        <family val="2"/>
        <scheme val="minor"/>
      </rPr>
      <t xml:space="preserve"> de la malla vial arterial del D.C., realizar apoyos interinstitucionales e implementar obras de bioingeniería</t>
    </r>
  </si>
  <si>
    <r>
      <t xml:space="preserve">Mejorar </t>
    </r>
    <r>
      <rPr>
        <b/>
        <sz val="10"/>
        <color theme="1"/>
        <rFont val="Calibri"/>
        <family val="2"/>
        <scheme val="minor"/>
      </rPr>
      <t xml:space="preserve">34 km-carril </t>
    </r>
    <r>
      <rPr>
        <sz val="10"/>
        <color theme="1"/>
        <rFont val="Calibri"/>
        <family val="2"/>
        <scheme val="minor"/>
      </rPr>
      <t>de vías Rurales del distrito capital e implementar obras de Bioingeniería</t>
    </r>
  </si>
  <si>
    <t>7859 Fortalecimiento Institucional</t>
  </si>
  <si>
    <t>7860 Fortalecimiento de los componentes de TI para la transformación digital</t>
  </si>
  <si>
    <t>Intervenir 100,000 metros2 de espacio publico de la ciudad</t>
  </si>
  <si>
    <r>
      <t xml:space="preserve">Definir e implementar </t>
    </r>
    <r>
      <rPr>
        <b/>
        <sz val="9"/>
        <color theme="1"/>
        <rFont val="Calibri"/>
        <family val="2"/>
        <scheme val="minor"/>
      </rPr>
      <t xml:space="preserve">dos estrategias </t>
    </r>
    <r>
      <rPr>
        <sz val="9"/>
        <color theme="1"/>
        <rFont val="Calibri"/>
        <family val="2"/>
        <scheme val="minor"/>
      </rPr>
      <t>de cultura ciudadana para el sistema de movilidad, con enfoque diferencial, de género y territorial, donde una de ellas incluya la prevención, atención y sanción de la violencia contra la mujer en el transporte</t>
    </r>
  </si>
  <si>
    <r>
      <t xml:space="preserve">Definir e implementar </t>
    </r>
    <r>
      <rPr>
        <b/>
        <sz val="10"/>
        <color theme="1"/>
        <rFont val="Calibri"/>
        <family val="2"/>
        <scheme val="minor"/>
      </rPr>
      <t>una</t>
    </r>
    <r>
      <rPr>
        <sz val="10"/>
        <color theme="1"/>
        <rFont val="Calibri"/>
        <family val="2"/>
        <scheme val="minor"/>
      </rPr>
      <t xml:space="preserve"> estrategia de cultura ciudadana para el sistema de movilidad, con enfoque diferencial, de género y territorial</t>
    </r>
  </si>
  <si>
    <r>
      <t xml:space="preserve">Aumentar </t>
    </r>
    <r>
      <rPr>
        <b/>
        <sz val="10"/>
        <color theme="1"/>
        <rFont val="Calibri"/>
        <family val="2"/>
        <scheme val="minor"/>
      </rPr>
      <t>89,43 puntos</t>
    </r>
    <r>
      <rPr>
        <sz val="10"/>
        <color theme="1"/>
        <rFont val="Calibri"/>
        <family val="2"/>
        <scheme val="minor"/>
      </rPr>
      <t xml:space="preserve"> el índice de satisfacción al usuario
</t>
    </r>
  </si>
  <si>
    <r>
      <t xml:space="preserve">Fortalecer </t>
    </r>
    <r>
      <rPr>
        <b/>
        <sz val="10"/>
        <color theme="1"/>
        <rFont val="Calibri"/>
        <family val="2"/>
        <scheme val="minor"/>
      </rPr>
      <t xml:space="preserve">un (1) </t>
    </r>
    <r>
      <rPr>
        <sz val="10"/>
        <color theme="1"/>
        <rFont val="Calibri"/>
        <family val="2"/>
        <scheme val="minor"/>
      </rPr>
      <t xml:space="preserve">sistema de Gestión para la UAERMV </t>
    </r>
  </si>
  <si>
    <r>
      <t xml:space="preserve">Adecuación y mantenimiento de </t>
    </r>
    <r>
      <rPr>
        <b/>
        <sz val="10"/>
        <color theme="1"/>
        <rFont val="Calibri"/>
        <family val="2"/>
        <scheme val="minor"/>
      </rPr>
      <t>2 Sedes</t>
    </r>
    <r>
      <rPr>
        <sz val="10"/>
        <color theme="1"/>
        <rFont val="Calibri"/>
        <family val="2"/>
        <scheme val="minor"/>
      </rPr>
      <t xml:space="preserve"> de la UAERMV</t>
    </r>
  </si>
  <si>
    <r>
      <t xml:space="preserve">Aumentar en </t>
    </r>
    <r>
      <rPr>
        <b/>
        <sz val="10"/>
        <color theme="1"/>
        <rFont val="Calibri"/>
        <family val="2"/>
        <scheme val="minor"/>
      </rPr>
      <t>50 punto</t>
    </r>
    <r>
      <rPr>
        <sz val="10"/>
        <color theme="1"/>
        <rFont val="Calibri"/>
        <family val="2"/>
        <scheme val="minor"/>
      </rPr>
      <t>s porcentuales el nivel de modernización de la infraestructura tecnológica   de la UAERMV.</t>
    </r>
  </si>
  <si>
    <r>
      <t xml:space="preserve">Realizar </t>
    </r>
    <r>
      <rPr>
        <b/>
        <sz val="10"/>
        <color theme="1"/>
        <rFont val="Calibri"/>
        <family val="2"/>
        <scheme val="minor"/>
      </rPr>
      <t>4 actualizacione</t>
    </r>
    <r>
      <rPr>
        <sz val="10"/>
        <color theme="1"/>
        <rFont val="Calibri"/>
        <family val="2"/>
        <scheme val="minor"/>
      </rPr>
      <t>s del Plan Estratégico de Tecnologías de la Información - PETI de la UAERMV</t>
    </r>
  </si>
  <si>
    <r>
      <t xml:space="preserve">Implementar </t>
    </r>
    <r>
      <rPr>
        <b/>
        <sz val="10"/>
        <color theme="1"/>
        <rFont val="Calibri"/>
        <family val="2"/>
        <scheme val="minor"/>
      </rPr>
      <t>50 funcionalidades</t>
    </r>
    <r>
      <rPr>
        <sz val="10"/>
        <color theme="1"/>
        <rFont val="Calibri"/>
        <family val="2"/>
        <scheme val="minor"/>
      </rPr>
      <t xml:space="preserve"> en Cinco (5) de los sistemas de información de la UAERMV</t>
    </r>
  </si>
  <si>
    <t>Fuente: Seguimiento a proyectos de inversión - SPI - DNP</t>
  </si>
  <si>
    <t>Aumentar en 5 puntos el Índice de Desempeño Institucional para las entidades del Sector Movilidad, en el marco de las políticas de MIPG</t>
  </si>
  <si>
    <r>
      <t>Conservar 79</t>
    </r>
    <r>
      <rPr>
        <b/>
        <sz val="10"/>
        <color theme="1"/>
        <rFont val="Calibri"/>
        <family val="2"/>
        <scheme val="minor"/>
      </rPr>
      <t xml:space="preserve"> Km</t>
    </r>
    <r>
      <rPr>
        <sz val="10"/>
        <color theme="1"/>
        <rFont val="Calibri"/>
        <family val="2"/>
        <scheme val="minor"/>
      </rPr>
      <t xml:space="preserve"> de cicloinfraestructura del distrito capital</t>
    </r>
  </si>
  <si>
    <r>
      <t xml:space="preserve">Conservar </t>
    </r>
    <r>
      <rPr>
        <b/>
        <sz val="10"/>
        <color theme="1"/>
        <rFont val="Calibri"/>
        <family val="2"/>
        <scheme val="minor"/>
      </rPr>
      <t>1360,94 Km-carril</t>
    </r>
    <r>
      <rPr>
        <sz val="10"/>
        <color theme="1"/>
        <rFont val="Calibri"/>
        <family val="2"/>
        <scheme val="minor"/>
      </rPr>
      <t xml:space="preserve"> de la malla vial local e intermedia del distrito capital</t>
    </r>
  </si>
  <si>
    <r>
      <t xml:space="preserve">Aumentar el índice de satisfacción al usuario de las entidades del Sector Movilidad en </t>
    </r>
    <r>
      <rPr>
        <b/>
        <sz val="10"/>
        <color theme="1"/>
        <rFont val="Calibri"/>
        <family val="2"/>
        <scheme val="minor"/>
      </rPr>
      <t>5 puntos porcentuales</t>
    </r>
  </si>
  <si>
    <t>Corte 30 de junio 2020 a 30 de junio 2022</t>
  </si>
  <si>
    <r>
      <t>Realizar actividades de conservación a</t>
    </r>
    <r>
      <rPr>
        <b/>
        <sz val="10"/>
        <color theme="1"/>
        <rFont val="Calibri"/>
        <family val="2"/>
        <scheme val="minor"/>
      </rPr>
      <t xml:space="preserve"> 2.308 km carril </t>
    </r>
    <r>
      <rPr>
        <sz val="10"/>
        <color theme="1"/>
        <rFont val="Calibri"/>
        <family val="2"/>
        <scheme val="minor"/>
      </rPr>
      <t>de malla vial</t>
    </r>
  </si>
  <si>
    <t>Total</t>
  </si>
  <si>
    <r>
      <t xml:space="preserve">Intervenir </t>
    </r>
    <r>
      <rPr>
        <b/>
        <sz val="10"/>
        <color theme="1"/>
        <rFont val="Calibri"/>
        <family val="2"/>
        <scheme val="minor"/>
      </rPr>
      <t>116,500</t>
    </r>
    <r>
      <rPr>
        <sz val="10"/>
        <color theme="1"/>
        <rFont val="Calibri"/>
        <family val="2"/>
        <scheme val="minor"/>
      </rPr>
      <t xml:space="preserve"> metros2 de espacio publico de la ciudad</t>
    </r>
  </si>
  <si>
    <r>
      <t xml:space="preserve">Conservar </t>
    </r>
    <r>
      <rPr>
        <b/>
        <sz val="10"/>
        <color theme="1"/>
        <rFont val="Calibri"/>
        <family val="2"/>
        <scheme val="minor"/>
      </rPr>
      <t>85,56 Km</t>
    </r>
    <r>
      <rPr>
        <sz val="10"/>
        <color theme="1"/>
        <rFont val="Calibri"/>
        <family val="2"/>
        <scheme val="minor"/>
      </rPr>
      <t xml:space="preserve"> de cicloinfraestructura del distrito capital</t>
    </r>
  </si>
  <si>
    <r>
      <t xml:space="preserve">Conservar </t>
    </r>
    <r>
      <rPr>
        <b/>
        <sz val="10"/>
        <color theme="1"/>
        <rFont val="Calibri"/>
        <family val="2"/>
        <scheme val="minor"/>
      </rPr>
      <t>1502,95 Km-carril</t>
    </r>
    <r>
      <rPr>
        <sz val="10"/>
        <color theme="1"/>
        <rFont val="Calibri"/>
        <family val="2"/>
        <scheme val="minor"/>
      </rPr>
      <t xml:space="preserve"> de la malla vial local e intermedia del distrito capital</t>
    </r>
  </si>
  <si>
    <r>
      <t xml:space="preserve">Conservar </t>
    </r>
    <r>
      <rPr>
        <b/>
        <sz val="10"/>
        <color theme="1"/>
        <rFont val="Calibri"/>
        <family val="2"/>
        <scheme val="minor"/>
      </rPr>
      <t>94,43 Km-Carril</t>
    </r>
    <r>
      <rPr>
        <sz val="10"/>
        <color theme="1"/>
        <rFont val="Calibri"/>
        <family val="2"/>
        <scheme val="minor"/>
      </rPr>
      <t xml:space="preserve"> de la malla vial arterial del D.C., realizar apoyos interinstitucionales e implementar obras de bioingeniería</t>
    </r>
  </si>
  <si>
    <t>COMPONENTE DE GESTIÓN 7858</t>
  </si>
  <si>
    <t>Indicador</t>
  </si>
  <si>
    <t>Vigencia</t>
  </si>
  <si>
    <t>Programación / Ejecutado
SEGPLAN</t>
  </si>
  <si>
    <t>Ajuste No Adelantado (Requerimiento suspendido Aprobación)</t>
  </si>
  <si>
    <t>Reprogramación - POAI</t>
  </si>
  <si>
    <t>Observación</t>
  </si>
  <si>
    <t>404 Kilómetros de ciclorruta conservados</t>
  </si>
  <si>
    <t>9 km por adicion de rescate social $3.996 millones</t>
  </si>
  <si>
    <t>1,2 km por convenio Kennedy $328 millones</t>
  </si>
  <si>
    <t>405 Kilómetros de malla vial conservada</t>
  </si>
  <si>
    <t>*96,04 km - carril por adicion $11.494 millones.
*6,99 km - carril en 2021</t>
  </si>
  <si>
    <t>7,2 km - carril por convenio Kennedy $2.993 millones
14,43 km Convenio IDU</t>
  </si>
  <si>
    <t>COMPONENTE DE GESTIÓN 7903</t>
  </si>
  <si>
    <t>Actual</t>
  </si>
  <si>
    <t>Ajustar</t>
  </si>
  <si>
    <t>Justificacion</t>
  </si>
  <si>
    <t>Intervenir 100,000 metros2 de espacio publico de la ciudad.</t>
  </si>
  <si>
    <t>Se ajusta la programación con lo ejecutado para poder programar la magnitud faltante de acuerdo a la magnitud total programada para la meta</t>
  </si>
  <si>
    <t>Se reprograma 
15.000 m2 por rescate social 
1.500 por convenio Kennedy</t>
  </si>
  <si>
    <t>COMPONENTE DE INVERSIÓN 7858</t>
  </si>
  <si>
    <t>Programación</t>
  </si>
  <si>
    <t>Mejorar 34 km-carril de vías Rurales del distrito capital e implementar obras de Bioingeniería</t>
  </si>
  <si>
    <t>Intervenir 116.500 metros2 de espacio publico de la ciudad.</t>
  </si>
  <si>
    <t>Ejecutado</t>
  </si>
  <si>
    <t>Ejecucion</t>
  </si>
  <si>
    <t>% Avance</t>
  </si>
  <si>
    <t>Programado</t>
  </si>
  <si>
    <t>Local Intermedia</t>
  </si>
  <si>
    <t>Arterial</t>
  </si>
  <si>
    <t>Rural</t>
  </si>
  <si>
    <t>Cicloinfraestructura</t>
  </si>
  <si>
    <t xml:space="preserve">Espacio publico </t>
  </si>
  <si>
    <t>Total Meta 2308 km</t>
  </si>
  <si>
    <t>Corte 30 de junio 2020 a 31 de enero 2023</t>
  </si>
  <si>
    <t>Total 2020 - 2024</t>
  </si>
  <si>
    <t>Total 2020-2024</t>
  </si>
  <si>
    <t>Meta</t>
  </si>
  <si>
    <t>Programado Cuatrenio</t>
  </si>
  <si>
    <t>Ejecutado Acumulado</t>
  </si>
  <si>
    <t>Metas UMV</t>
  </si>
  <si>
    <t>Corte 30 jun 2023</t>
  </si>
  <si>
    <t>Corte 30 de junio 2020 a 31 de jul 2023
Fuente: Gerencia Proyectos - SPI</t>
  </si>
  <si>
    <r>
      <t xml:space="preserve">Conservar </t>
    </r>
    <r>
      <rPr>
        <b/>
        <sz val="10"/>
        <color theme="1"/>
        <rFont val="Calibri"/>
        <family val="2"/>
        <scheme val="minor"/>
      </rPr>
      <t>91,35 Km</t>
    </r>
    <r>
      <rPr>
        <sz val="10"/>
        <color theme="1"/>
        <rFont val="Calibri"/>
        <family val="2"/>
        <scheme val="minor"/>
      </rPr>
      <t xml:space="preserve"> de cicloinfraestructura del distrito capital</t>
    </r>
  </si>
  <si>
    <r>
      <t xml:space="preserve">Conservar </t>
    </r>
    <r>
      <rPr>
        <b/>
        <sz val="10"/>
        <color theme="1"/>
        <rFont val="Calibri"/>
        <family val="2"/>
        <scheme val="minor"/>
      </rPr>
      <t>1598,01 Km-carril</t>
    </r>
    <r>
      <rPr>
        <sz val="10"/>
        <color theme="1"/>
        <rFont val="Calibri"/>
        <family val="2"/>
        <scheme val="minor"/>
      </rPr>
      <t xml:space="preserve"> de la malla vial local e intermedia del distrito capital</t>
    </r>
  </si>
  <si>
    <r>
      <t xml:space="preserve">Aumentar en </t>
    </r>
    <r>
      <rPr>
        <b/>
        <sz val="10"/>
        <color theme="1"/>
        <rFont val="Calibri"/>
        <family val="2"/>
        <scheme val="minor"/>
      </rPr>
      <t xml:space="preserve">5 puntos </t>
    </r>
    <r>
      <rPr>
        <sz val="10"/>
        <color theme="1"/>
        <rFont val="Calibri"/>
        <family val="2"/>
        <scheme val="minor"/>
      </rPr>
      <t>el Índice de Desempeño Institucional para las entidades del Sector Movilidad, en el marco de las políticas de MIPG</t>
    </r>
  </si>
  <si>
    <t>Indicadores</t>
  </si>
  <si>
    <t>Kilómetros de ciclorruta conservados</t>
  </si>
  <si>
    <t>PDD UNCSAB 2020 - 2024</t>
  </si>
  <si>
    <t>PDD BCS 2024-2027</t>
  </si>
  <si>
    <t>Fuente: Gerencia Proyectos junio 2020 a junio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</si>
</sst>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5" formatCode="_-* #,##0_-;\-* #,##0_-;_-* &quot;-&quot;??_-;_-@_-"/>
    <numFmt numFmtId="166" formatCode="0.000%"/>
    <numFmt numFmtId="167" formatCode="0.0%"/>
    <numFmt numFmtId="168" formatCode="\$\ #,##0.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name val="Calibri"/>
      <family val="2"/>
      <scheme val="minor"/>
    </font>
    <font>
      <b/>
      <sz val="8"/>
      <color theme="1"/>
      <name val="Arial"/>
      <family val="2"/>
    </font>
    <font>
      <b/>
      <sz val="8"/>
      <color theme="0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sz val="8"/>
      <color rgb="FF00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FFFF"/>
      </patternFill>
    </fill>
    <fill>
      <patternFill patternType="solid">
        <fgColor theme="4" tint="-0.49998474074526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58">
    <xf numFmtId="0" fontId="0" fillId="0" borderId="0" xfId="0"/>
    <xf numFmtId="0" fontId="2" fillId="0" borderId="0" xfId="0" applyFont="1"/>
    <xf numFmtId="0" fontId="3" fillId="0" borderId="0" xfId="0" applyFont="1"/>
    <xf numFmtId="10" fontId="3" fillId="2" borderId="1" xfId="3" applyNumberFormat="1" applyFont="1" applyFill="1" applyBorder="1" applyAlignment="1">
      <alignment horizontal="center"/>
    </xf>
    <xf numFmtId="0" fontId="2" fillId="0" borderId="4" xfId="0" applyFont="1" applyFill="1" applyBorder="1"/>
    <xf numFmtId="9" fontId="2" fillId="0" borderId="4" xfId="3" applyNumberFormat="1" applyFont="1" applyFill="1" applyBorder="1"/>
    <xf numFmtId="43" fontId="2" fillId="0" borderId="4" xfId="1" applyFont="1" applyFill="1" applyBorder="1"/>
    <xf numFmtId="10" fontId="2" fillId="0" borderId="5" xfId="3" applyNumberFormat="1" applyFont="1" applyFill="1" applyBorder="1"/>
    <xf numFmtId="0" fontId="3" fillId="0" borderId="0" xfId="0" applyFont="1" applyFill="1"/>
    <xf numFmtId="44" fontId="2" fillId="0" borderId="6" xfId="2" applyFont="1" applyFill="1" applyBorder="1"/>
    <xf numFmtId="9" fontId="2" fillId="0" borderId="6" xfId="3" applyNumberFormat="1" applyFont="1" applyFill="1" applyBorder="1"/>
    <xf numFmtId="10" fontId="2" fillId="0" borderId="7" xfId="3" applyNumberFormat="1" applyFont="1" applyFill="1" applyBorder="1"/>
    <xf numFmtId="44" fontId="3" fillId="0" borderId="0" xfId="2" applyFont="1" applyFill="1"/>
    <xf numFmtId="10" fontId="2" fillId="0" borderId="4" xfId="3" applyNumberFormat="1" applyFont="1" applyFill="1" applyBorder="1"/>
    <xf numFmtId="10" fontId="2" fillId="0" borderId="6" xfId="3" applyNumberFormat="1" applyFont="1" applyFill="1" applyBorder="1"/>
    <xf numFmtId="43" fontId="2" fillId="0" borderId="4" xfId="0" applyNumberFormat="1" applyFont="1" applyFill="1" applyBorder="1"/>
    <xf numFmtId="0" fontId="3" fillId="0" borderId="0" xfId="0" applyFont="1" applyAlignment="1">
      <alignment horizontal="left"/>
    </xf>
    <xf numFmtId="10" fontId="2" fillId="0" borderId="0" xfId="3" applyNumberFormat="1" applyFont="1"/>
    <xf numFmtId="0" fontId="2" fillId="0" borderId="0" xfId="0" applyFont="1" applyAlignment="1">
      <alignment vertical="center"/>
    </xf>
    <xf numFmtId="0" fontId="3" fillId="2" borderId="1" xfId="0" applyFont="1" applyFill="1" applyBorder="1" applyAlignment="1">
      <alignment horizontal="center"/>
    </xf>
    <xf numFmtId="44" fontId="2" fillId="0" borderId="9" xfId="2" applyFont="1" applyFill="1" applyBorder="1"/>
    <xf numFmtId="2" fontId="2" fillId="0" borderId="4" xfId="0" applyNumberFormat="1" applyFont="1" applyFill="1" applyBorder="1"/>
    <xf numFmtId="0" fontId="3" fillId="2" borderId="1" xfId="0" applyFont="1" applyFill="1" applyBorder="1" applyAlignment="1">
      <alignment horizontal="center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10" xfId="0" applyFont="1" applyFill="1" applyBorder="1" applyAlignment="1">
      <alignment vertical="center"/>
    </xf>
    <xf numFmtId="0" fontId="3" fillId="0" borderId="1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43" fontId="2" fillId="0" borderId="0" xfId="1" applyFont="1"/>
    <xf numFmtId="43" fontId="3" fillId="0" borderId="0" xfId="1" applyFont="1"/>
    <xf numFmtId="43" fontId="3" fillId="0" borderId="0" xfId="1" applyFont="1" applyFill="1"/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0" fontId="3" fillId="2" borderId="1" xfId="3" applyNumberFormat="1" applyFont="1" applyFill="1" applyBorder="1" applyAlignment="1">
      <alignment horizontal="center" vertical="center"/>
    </xf>
    <xf numFmtId="2" fontId="2" fillId="0" borderId="4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43" fontId="2" fillId="0" borderId="4" xfId="1" applyFont="1" applyFill="1" applyBorder="1" applyAlignment="1">
      <alignment horizontal="center" vertical="center"/>
    </xf>
    <xf numFmtId="2" fontId="2" fillId="0" borderId="4" xfId="0" applyNumberFormat="1" applyFont="1" applyFill="1" applyBorder="1" applyAlignment="1">
      <alignment horizontal="right" vertical="center"/>
    </xf>
    <xf numFmtId="0" fontId="2" fillId="0" borderId="4" xfId="0" applyFont="1" applyFill="1" applyBorder="1" applyAlignment="1">
      <alignment horizontal="right" vertical="center"/>
    </xf>
    <xf numFmtId="10" fontId="2" fillId="0" borderId="5" xfId="3" applyNumberFormat="1" applyFont="1" applyFill="1" applyBorder="1" applyAlignment="1">
      <alignment horizontal="right" vertical="center"/>
    </xf>
    <xf numFmtId="44" fontId="2" fillId="0" borderId="6" xfId="2" applyFont="1" applyFill="1" applyBorder="1" applyAlignment="1">
      <alignment horizontal="right" vertical="center"/>
    </xf>
    <xf numFmtId="10" fontId="2" fillId="0" borderId="7" xfId="3" applyNumberFormat="1" applyFont="1" applyFill="1" applyBorder="1" applyAlignment="1">
      <alignment horizontal="right" vertical="center"/>
    </xf>
    <xf numFmtId="44" fontId="2" fillId="0" borderId="9" xfId="2" applyFont="1" applyFill="1" applyBorder="1" applyAlignment="1">
      <alignment horizontal="right" vertical="center"/>
    </xf>
    <xf numFmtId="2" fontId="2" fillId="0" borderId="4" xfId="0" applyNumberFormat="1" applyFont="1" applyFill="1" applyBorder="1" applyAlignment="1">
      <alignment vertical="center"/>
    </xf>
    <xf numFmtId="10" fontId="2" fillId="0" borderId="5" xfId="3" applyNumberFormat="1" applyFont="1" applyFill="1" applyBorder="1" applyAlignment="1">
      <alignment vertical="center"/>
    </xf>
    <xf numFmtId="44" fontId="2" fillId="0" borderId="6" xfId="2" applyFont="1" applyFill="1" applyBorder="1" applyAlignment="1">
      <alignment vertical="center"/>
    </xf>
    <xf numFmtId="10" fontId="2" fillId="0" borderId="7" xfId="3" applyNumberFormat="1" applyFont="1" applyFill="1" applyBorder="1" applyAlignment="1">
      <alignment vertical="center"/>
    </xf>
    <xf numFmtId="164" fontId="2" fillId="0" borderId="6" xfId="2" applyNumberFormat="1" applyFont="1" applyFill="1" applyBorder="1" applyAlignment="1">
      <alignment horizontal="center" vertical="center"/>
    </xf>
    <xf numFmtId="44" fontId="3" fillId="0" borderId="0" xfId="2" applyFont="1" applyFill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43" fontId="2" fillId="4" borderId="1" xfId="1" applyFont="1" applyFill="1" applyBorder="1" applyAlignment="1">
      <alignment vertical="center"/>
    </xf>
    <xf numFmtId="0" fontId="0" fillId="0" borderId="1" xfId="0" applyFill="1" applyBorder="1" applyAlignment="1">
      <alignment vertical="center" wrapText="1"/>
    </xf>
    <xf numFmtId="0" fontId="2" fillId="4" borderId="1" xfId="0" applyFont="1" applyFill="1" applyBorder="1" applyAlignment="1">
      <alignment vertical="center"/>
    </xf>
    <xf numFmtId="2" fontId="2" fillId="0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43" fontId="2" fillId="0" borderId="1" xfId="0" applyNumberFormat="1" applyFont="1" applyFill="1" applyBorder="1" applyAlignment="1">
      <alignment vertical="center"/>
    </xf>
    <xf numFmtId="43" fontId="2" fillId="4" borderId="1" xfId="0" applyNumberFormat="1" applyFont="1" applyFill="1" applyBorder="1" applyAlignment="1">
      <alignment vertical="center"/>
    </xf>
    <xf numFmtId="2" fontId="0" fillId="0" borderId="1" xfId="0" applyNumberFormat="1" applyFill="1" applyBorder="1" applyAlignment="1">
      <alignment vertical="center"/>
    </xf>
    <xf numFmtId="0" fontId="6" fillId="0" borderId="8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1" fontId="2" fillId="4" borderId="1" xfId="0" applyNumberFormat="1" applyFont="1" applyFill="1" applyBorder="1" applyAlignment="1">
      <alignment vertical="center"/>
    </xf>
    <xf numFmtId="43" fontId="2" fillId="0" borderId="1" xfId="1" applyFont="1" applyFill="1" applyBorder="1" applyAlignment="1">
      <alignment vertical="center"/>
    </xf>
    <xf numFmtId="1" fontId="2" fillId="0" borderId="1" xfId="0" applyNumberFormat="1" applyFont="1" applyFill="1" applyBorder="1" applyAlignment="1">
      <alignment vertical="center"/>
    </xf>
    <xf numFmtId="165" fontId="2" fillId="0" borderId="1" xfId="1" applyNumberFormat="1" applyFont="1" applyFill="1" applyBorder="1" applyAlignment="1">
      <alignment vertical="center"/>
    </xf>
    <xf numFmtId="2" fontId="2" fillId="0" borderId="1" xfId="0" applyNumberFormat="1" applyFont="1" applyFill="1" applyBorder="1" applyAlignment="1">
      <alignment vertical="center" wrapText="1"/>
    </xf>
    <xf numFmtId="0" fontId="0" fillId="0" borderId="0" xfId="0" applyBorder="1"/>
    <xf numFmtId="0" fontId="6" fillId="0" borderId="0" xfId="0" applyFont="1" applyBorder="1" applyAlignment="1"/>
    <xf numFmtId="0" fontId="3" fillId="0" borderId="1" xfId="0" applyFont="1" applyFill="1" applyBorder="1" applyAlignment="1">
      <alignment horizontal="center"/>
    </xf>
    <xf numFmtId="0" fontId="3" fillId="0" borderId="0" xfId="0" applyFont="1" applyFill="1" applyBorder="1" applyAlignment="1"/>
    <xf numFmtId="2" fontId="2" fillId="0" borderId="0" xfId="0" applyNumberFormat="1" applyFont="1" applyFill="1" applyBorder="1"/>
    <xf numFmtId="2" fontId="0" fillId="0" borderId="0" xfId="0" applyNumberFormat="1" applyBorder="1"/>
    <xf numFmtId="2" fontId="2" fillId="0" borderId="1" xfId="0" applyNumberFormat="1" applyFont="1" applyFill="1" applyBorder="1"/>
    <xf numFmtId="0" fontId="2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2" fontId="2" fillId="4" borderId="1" xfId="0" applyNumberFormat="1" applyFont="1" applyFill="1" applyBorder="1" applyAlignment="1">
      <alignment vertical="center"/>
    </xf>
    <xf numFmtId="0" fontId="7" fillId="0" borderId="0" xfId="0" applyFont="1" applyBorder="1" applyAlignment="1">
      <alignment vertical="center"/>
    </xf>
    <xf numFmtId="2" fontId="8" fillId="0" borderId="0" xfId="0" applyNumberFormat="1" applyFont="1" applyFill="1" applyBorder="1"/>
    <xf numFmtId="0" fontId="3" fillId="0" borderId="1" xfId="0" applyFont="1" applyFill="1" applyBorder="1" applyAlignment="1">
      <alignment horizontal="center" vertical="center" wrapText="1"/>
    </xf>
    <xf numFmtId="9" fontId="2" fillId="0" borderId="1" xfId="3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43" fontId="2" fillId="0" borderId="1" xfId="1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2" fontId="2" fillId="0" borderId="1" xfId="0" applyNumberFormat="1" applyFont="1" applyFill="1" applyBorder="1" applyAlignment="1">
      <alignment horizontal="right" vertical="center"/>
    </xf>
    <xf numFmtId="43" fontId="0" fillId="0" borderId="1" xfId="0" applyNumberFormat="1" applyFill="1" applyBorder="1" applyAlignment="1">
      <alignment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2" fontId="2" fillId="4" borderId="1" xfId="0" applyNumberFormat="1" applyFont="1" applyFill="1" applyBorder="1" applyAlignment="1">
      <alignment horizontal="right" vertical="center"/>
    </xf>
    <xf numFmtId="165" fontId="2" fillId="4" borderId="1" xfId="1" applyNumberFormat="1" applyFont="1" applyFill="1" applyBorder="1" applyAlignment="1">
      <alignment vertical="center"/>
    </xf>
    <xf numFmtId="43" fontId="2" fillId="4" borderId="1" xfId="1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/>
    </xf>
    <xf numFmtId="167" fontId="0" fillId="0" borderId="0" xfId="3" applyNumberFormat="1" applyFont="1"/>
    <xf numFmtId="10" fontId="0" fillId="0" borderId="0" xfId="3" applyNumberFormat="1" applyFont="1"/>
    <xf numFmtId="0" fontId="3" fillId="0" borderId="14" xfId="0" applyFont="1" applyFill="1" applyBorder="1" applyAlignment="1">
      <alignment vertical="center"/>
    </xf>
    <xf numFmtId="10" fontId="2" fillId="0" borderId="1" xfId="3" applyNumberFormat="1" applyFont="1" applyFill="1" applyBorder="1" applyAlignment="1">
      <alignment vertical="center"/>
    </xf>
    <xf numFmtId="0" fontId="2" fillId="0" borderId="17" xfId="0" applyFont="1" applyFill="1" applyBorder="1" applyAlignment="1">
      <alignment horizontal="left" vertical="center" wrapText="1"/>
    </xf>
    <xf numFmtId="0" fontId="2" fillId="0" borderId="17" xfId="0" applyFont="1" applyFill="1" applyBorder="1" applyAlignment="1">
      <alignment horizontal="left" vertical="top" wrapText="1"/>
    </xf>
    <xf numFmtId="166" fontId="2" fillId="0" borderId="1" xfId="3" applyNumberFormat="1" applyFont="1" applyFill="1" applyBorder="1" applyAlignment="1">
      <alignment vertical="center"/>
    </xf>
    <xf numFmtId="2" fontId="2" fillId="0" borderId="15" xfId="0" applyNumberFormat="1" applyFont="1" applyFill="1" applyBorder="1" applyAlignment="1">
      <alignment vertical="center"/>
    </xf>
    <xf numFmtId="10" fontId="2" fillId="0" borderId="16" xfId="3" applyNumberFormat="1" applyFont="1" applyFill="1" applyBorder="1" applyAlignment="1">
      <alignment vertical="center"/>
    </xf>
    <xf numFmtId="0" fontId="3" fillId="5" borderId="1" xfId="0" applyFont="1" applyFill="1" applyBorder="1" applyAlignment="1">
      <alignment horizontal="center"/>
    </xf>
    <xf numFmtId="10" fontId="3" fillId="5" borderId="1" xfId="3" applyNumberFormat="1" applyFont="1" applyFill="1" applyBorder="1" applyAlignment="1">
      <alignment horizontal="center"/>
    </xf>
    <xf numFmtId="0" fontId="2" fillId="5" borderId="4" xfId="0" applyFont="1" applyFill="1" applyBorder="1" applyAlignment="1">
      <alignment vertical="center"/>
    </xf>
    <xf numFmtId="43" fontId="2" fillId="5" borderId="4" xfId="1" applyFont="1" applyFill="1" applyBorder="1" applyAlignment="1">
      <alignment vertical="center"/>
    </xf>
    <xf numFmtId="10" fontId="2" fillId="5" borderId="4" xfId="3" applyNumberFormat="1" applyFont="1" applyFill="1" applyBorder="1" applyAlignment="1">
      <alignment vertical="center"/>
    </xf>
    <xf numFmtId="2" fontId="2" fillId="5" borderId="4" xfId="0" applyNumberFormat="1" applyFont="1" applyFill="1" applyBorder="1" applyAlignment="1">
      <alignment vertical="center"/>
    </xf>
    <xf numFmtId="10" fontId="2" fillId="5" borderId="5" xfId="3" applyNumberFormat="1" applyFont="1" applyFill="1" applyBorder="1" applyAlignment="1">
      <alignment vertical="center"/>
    </xf>
    <xf numFmtId="2" fontId="2" fillId="5" borderId="4" xfId="0" applyNumberFormat="1" applyFont="1" applyFill="1" applyBorder="1" applyAlignment="1">
      <alignment horizontal="right" vertical="center"/>
    </xf>
    <xf numFmtId="10" fontId="2" fillId="5" borderId="5" xfId="3" applyNumberFormat="1" applyFont="1" applyFill="1" applyBorder="1" applyAlignment="1">
      <alignment horizontal="right" vertical="center"/>
    </xf>
    <xf numFmtId="43" fontId="2" fillId="5" borderId="4" xfId="0" applyNumberFormat="1" applyFont="1" applyFill="1" applyBorder="1" applyAlignment="1">
      <alignment vertical="center"/>
    </xf>
    <xf numFmtId="2" fontId="9" fillId="5" borderId="4" xfId="0" applyNumberFormat="1" applyFont="1" applyFill="1" applyBorder="1" applyAlignment="1">
      <alignment horizontal="right" vertical="center"/>
    </xf>
    <xf numFmtId="0" fontId="2" fillId="5" borderId="15" xfId="0" applyFont="1" applyFill="1" applyBorder="1" applyAlignment="1">
      <alignment vertical="center"/>
    </xf>
    <xf numFmtId="43" fontId="2" fillId="5" borderId="15" xfId="1" applyFont="1" applyFill="1" applyBorder="1" applyAlignment="1">
      <alignment vertical="center"/>
    </xf>
    <xf numFmtId="10" fontId="2" fillId="5" borderId="15" xfId="3" applyNumberFormat="1" applyFont="1" applyFill="1" applyBorder="1" applyAlignment="1">
      <alignment vertical="center"/>
    </xf>
    <xf numFmtId="2" fontId="2" fillId="5" borderId="15" xfId="0" applyNumberFormat="1" applyFont="1" applyFill="1" applyBorder="1" applyAlignment="1">
      <alignment vertical="center"/>
    </xf>
    <xf numFmtId="10" fontId="2" fillId="5" borderId="16" xfId="3" applyNumberFormat="1" applyFont="1" applyFill="1" applyBorder="1" applyAlignment="1">
      <alignment vertical="center"/>
    </xf>
    <xf numFmtId="2" fontId="2" fillId="5" borderId="15" xfId="0" applyNumberFormat="1" applyFont="1" applyFill="1" applyBorder="1" applyAlignment="1">
      <alignment horizontal="right" vertical="center"/>
    </xf>
    <xf numFmtId="10" fontId="2" fillId="5" borderId="16" xfId="3" applyNumberFormat="1" applyFont="1" applyFill="1" applyBorder="1" applyAlignment="1">
      <alignment horizontal="right" vertical="center"/>
    </xf>
    <xf numFmtId="43" fontId="2" fillId="5" borderId="1" xfId="0" applyNumberFormat="1" applyFont="1" applyFill="1" applyBorder="1" applyAlignment="1">
      <alignment vertical="center"/>
    </xf>
    <xf numFmtId="10" fontId="2" fillId="5" borderId="1" xfId="3" applyNumberFormat="1" applyFont="1" applyFill="1" applyBorder="1" applyAlignment="1">
      <alignment vertical="center"/>
    </xf>
    <xf numFmtId="43" fontId="2" fillId="0" borderId="4" xfId="0" applyNumberFormat="1" applyFont="1" applyFill="1" applyBorder="1" applyAlignment="1">
      <alignment vertical="center"/>
    </xf>
    <xf numFmtId="9" fontId="2" fillId="0" borderId="4" xfId="3" applyNumberFormat="1" applyFont="1" applyFill="1" applyBorder="1" applyAlignment="1">
      <alignment vertical="center"/>
    </xf>
    <xf numFmtId="0" fontId="2" fillId="0" borderId="4" xfId="0" applyFont="1" applyFill="1" applyBorder="1" applyAlignment="1">
      <alignment vertical="center"/>
    </xf>
    <xf numFmtId="9" fontId="2" fillId="0" borderId="6" xfId="3" applyNumberFormat="1" applyFont="1" applyFill="1" applyBorder="1" applyAlignment="1">
      <alignment vertical="center"/>
    </xf>
    <xf numFmtId="0" fontId="3" fillId="0" borderId="0" xfId="0" applyFont="1" applyAlignment="1">
      <alignment horizontal="left" wrapText="1"/>
    </xf>
    <xf numFmtId="2" fontId="3" fillId="0" borderId="0" xfId="2" applyNumberFormat="1" applyFont="1" applyFill="1"/>
    <xf numFmtId="10" fontId="3" fillId="0" borderId="0" xfId="3" applyNumberFormat="1" applyFont="1" applyFill="1"/>
    <xf numFmtId="0" fontId="2" fillId="0" borderId="1" xfId="0" applyFont="1" applyFill="1" applyBorder="1" applyAlignment="1">
      <alignment vertical="center" wrapText="1"/>
    </xf>
    <xf numFmtId="2" fontId="9" fillId="0" borderId="4" xfId="0" applyNumberFormat="1" applyFont="1" applyFill="1" applyBorder="1"/>
    <xf numFmtId="44" fontId="9" fillId="0" borderId="6" xfId="2" applyFont="1" applyFill="1" applyBorder="1"/>
    <xf numFmtId="10" fontId="3" fillId="0" borderId="0" xfId="3" applyNumberFormat="1" applyFont="1" applyFill="1" applyAlignment="1">
      <alignment vertical="center"/>
    </xf>
    <xf numFmtId="0" fontId="0" fillId="0" borderId="1" xfId="0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6" fillId="0" borderId="1" xfId="0" applyFont="1" applyBorder="1" applyAlignment="1">
      <alignment horizontal="center" vertical="center" wrapText="1"/>
    </xf>
    <xf numFmtId="10" fontId="0" fillId="0" borderId="1" xfId="3" applyNumberFormat="1" applyFont="1" applyBorder="1"/>
    <xf numFmtId="2" fontId="3" fillId="0" borderId="0" xfId="0" applyNumberFormat="1" applyFont="1" applyFill="1"/>
    <xf numFmtId="2" fontId="3" fillId="6" borderId="1" xfId="2" applyNumberFormat="1" applyFont="1" applyFill="1" applyBorder="1"/>
    <xf numFmtId="44" fontId="3" fillId="6" borderId="1" xfId="2" applyFont="1" applyFill="1" applyBorder="1"/>
    <xf numFmtId="44" fontId="3" fillId="6" borderId="1" xfId="2" applyFont="1" applyFill="1" applyBorder="1" applyAlignment="1">
      <alignment vertical="center"/>
    </xf>
    <xf numFmtId="9" fontId="3" fillId="6" borderId="1" xfId="3" applyNumberFormat="1" applyFont="1" applyFill="1" applyBorder="1" applyAlignment="1">
      <alignment vertical="center"/>
    </xf>
    <xf numFmtId="9" fontId="2" fillId="0" borderId="0" xfId="3" applyFont="1"/>
    <xf numFmtId="0" fontId="2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44" fontId="2" fillId="0" borderId="9" xfId="2" applyFont="1" applyFill="1" applyBorder="1" applyAlignment="1">
      <alignment vertical="center"/>
    </xf>
    <xf numFmtId="9" fontId="2" fillId="0" borderId="9" xfId="3" applyNumberFormat="1" applyFont="1" applyFill="1" applyBorder="1" applyAlignment="1">
      <alignment vertical="center"/>
    </xf>
    <xf numFmtId="10" fontId="2" fillId="0" borderId="21" xfId="3" applyNumberFormat="1" applyFont="1" applyFill="1" applyBorder="1" applyAlignment="1">
      <alignment vertical="center"/>
    </xf>
    <xf numFmtId="2" fontId="9" fillId="0" borderId="1" xfId="0" applyNumberFormat="1" applyFont="1" applyFill="1" applyBorder="1" applyAlignment="1">
      <alignment vertical="center"/>
    </xf>
    <xf numFmtId="44" fontId="2" fillId="0" borderId="1" xfId="2" applyFont="1" applyFill="1" applyBorder="1" applyAlignment="1">
      <alignment vertical="center"/>
    </xf>
    <xf numFmtId="44" fontId="9" fillId="0" borderId="1" xfId="2" applyFont="1" applyFill="1" applyBorder="1" applyAlignment="1">
      <alignment vertical="center"/>
    </xf>
    <xf numFmtId="2" fontId="3" fillId="0" borderId="0" xfId="2" applyNumberFormat="1" applyFont="1" applyFill="1" applyAlignment="1">
      <alignment vertical="center"/>
    </xf>
    <xf numFmtId="44" fontId="9" fillId="0" borderId="6" xfId="2" applyFont="1" applyFill="1" applyBorder="1" applyAlignment="1">
      <alignment vertical="center"/>
    </xf>
    <xf numFmtId="9" fontId="2" fillId="0" borderId="1" xfId="3" applyNumberFormat="1" applyFont="1" applyFill="1" applyBorder="1" applyAlignment="1">
      <alignment vertical="center"/>
    </xf>
    <xf numFmtId="43" fontId="9" fillId="0" borderId="1" xfId="1" applyFont="1" applyFill="1" applyBorder="1" applyAlignment="1">
      <alignment vertical="center"/>
    </xf>
    <xf numFmtId="43" fontId="9" fillId="0" borderId="1" xfId="1" applyFont="1" applyFill="1" applyBorder="1" applyAlignment="1">
      <alignment vertical="center" wrapText="1"/>
    </xf>
    <xf numFmtId="44" fontId="9" fillId="0" borderId="1" xfId="2" applyNumberFormat="1" applyFont="1" applyFill="1" applyBorder="1" applyAlignment="1">
      <alignment vertical="center"/>
    </xf>
    <xf numFmtId="0" fontId="3" fillId="0" borderId="0" xfId="0" applyFont="1" applyAlignment="1">
      <alignment horizontal="center"/>
    </xf>
    <xf numFmtId="43" fontId="3" fillId="0" borderId="0" xfId="0" applyNumberFormat="1" applyFont="1" applyFill="1"/>
    <xf numFmtId="0" fontId="10" fillId="0" borderId="8" xfId="0" applyFont="1" applyBorder="1" applyAlignment="1">
      <alignment vertical="top" wrapText="1"/>
    </xf>
    <xf numFmtId="0" fontId="10" fillId="0" borderId="8" xfId="0" applyFont="1" applyBorder="1" applyAlignment="1">
      <alignment vertical="center" wrapText="1"/>
    </xf>
    <xf numFmtId="0" fontId="12" fillId="0" borderId="0" xfId="0" applyFont="1"/>
    <xf numFmtId="0" fontId="10" fillId="0" borderId="0" xfId="0" applyFont="1"/>
    <xf numFmtId="0" fontId="11" fillId="7" borderId="1" xfId="0" applyFont="1" applyFill="1" applyBorder="1" applyAlignment="1">
      <alignment horizontal="center"/>
    </xf>
    <xf numFmtId="10" fontId="11" fillId="7" borderId="1" xfId="3" applyNumberFormat="1" applyFont="1" applyFill="1" applyBorder="1" applyAlignment="1">
      <alignment horizontal="center"/>
    </xf>
    <xf numFmtId="0" fontId="11" fillId="7" borderId="1" xfId="0" applyFont="1" applyFill="1" applyBorder="1" applyAlignment="1">
      <alignment horizontal="center" vertical="center"/>
    </xf>
    <xf numFmtId="10" fontId="11" fillId="7" borderId="1" xfId="3" applyNumberFormat="1" applyFont="1" applyFill="1" applyBorder="1" applyAlignment="1">
      <alignment horizontal="center" vertical="center"/>
    </xf>
    <xf numFmtId="0" fontId="10" fillId="0" borderId="18" xfId="0" applyFont="1" applyFill="1" applyBorder="1" applyAlignment="1">
      <alignment vertical="center"/>
    </xf>
    <xf numFmtId="0" fontId="12" fillId="0" borderId="1" xfId="0" applyFont="1" applyFill="1" applyBorder="1" applyAlignment="1">
      <alignment vertical="center"/>
    </xf>
    <xf numFmtId="43" fontId="12" fillId="0" borderId="1" xfId="1" applyFont="1" applyFill="1" applyBorder="1" applyAlignment="1">
      <alignment vertical="center"/>
    </xf>
    <xf numFmtId="10" fontId="12" fillId="0" borderId="1" xfId="3" applyNumberFormat="1" applyFont="1" applyFill="1" applyBorder="1" applyAlignment="1">
      <alignment vertical="center"/>
    </xf>
    <xf numFmtId="2" fontId="12" fillId="0" borderId="1" xfId="0" applyNumberFormat="1" applyFont="1" applyFill="1" applyBorder="1" applyAlignment="1">
      <alignment vertical="center"/>
    </xf>
    <xf numFmtId="2" fontId="12" fillId="0" borderId="1" xfId="0" applyNumberFormat="1" applyFont="1" applyFill="1" applyBorder="1" applyAlignment="1">
      <alignment horizontal="right" vertical="center"/>
    </xf>
    <xf numFmtId="10" fontId="12" fillId="0" borderId="1" xfId="3" applyNumberFormat="1" applyFont="1" applyFill="1" applyBorder="1" applyAlignment="1">
      <alignment horizontal="right" vertical="center"/>
    </xf>
    <xf numFmtId="2" fontId="13" fillId="0" borderId="1" xfId="0" applyNumberFormat="1" applyFont="1" applyFill="1" applyBorder="1" applyAlignment="1">
      <alignment vertical="center"/>
    </xf>
    <xf numFmtId="4" fontId="14" fillId="8" borderId="1" xfId="0" applyNumberFormat="1" applyFont="1" applyFill="1" applyBorder="1" applyAlignment="1" applyProtection="1">
      <alignment vertical="center" wrapText="1"/>
    </xf>
    <xf numFmtId="10" fontId="14" fillId="8" borderId="1" xfId="3" applyNumberFormat="1" applyFont="1" applyFill="1" applyBorder="1" applyAlignment="1" applyProtection="1">
      <alignment horizontal="right" vertical="center" wrapText="1"/>
    </xf>
    <xf numFmtId="44" fontId="10" fillId="0" borderId="0" xfId="2" applyFont="1" applyFill="1" applyAlignment="1">
      <alignment vertical="center"/>
    </xf>
    <xf numFmtId="44" fontId="12" fillId="0" borderId="1" xfId="2" applyFont="1" applyFill="1" applyBorder="1" applyAlignment="1">
      <alignment vertical="center"/>
    </xf>
    <xf numFmtId="44" fontId="12" fillId="0" borderId="1" xfId="2" applyFont="1" applyFill="1" applyBorder="1" applyAlignment="1">
      <alignment horizontal="right" vertical="center"/>
    </xf>
    <xf numFmtId="44" fontId="13" fillId="0" borderId="1" xfId="2" applyFont="1" applyFill="1" applyBorder="1" applyAlignment="1">
      <alignment horizontal="right" vertical="center"/>
    </xf>
    <xf numFmtId="44" fontId="13" fillId="0" borderId="1" xfId="2" applyFont="1" applyFill="1" applyBorder="1" applyAlignment="1">
      <alignment vertical="center"/>
    </xf>
    <xf numFmtId="168" fontId="14" fillId="8" borderId="1" xfId="0" applyNumberFormat="1" applyFont="1" applyFill="1" applyBorder="1" applyAlignment="1" applyProtection="1">
      <alignment vertical="center" wrapText="1"/>
    </xf>
    <xf numFmtId="10" fontId="12" fillId="0" borderId="0" xfId="3" applyNumberFormat="1" applyFont="1"/>
    <xf numFmtId="43" fontId="12" fillId="0" borderId="0" xfId="1" applyFont="1"/>
    <xf numFmtId="2" fontId="12" fillId="0" borderId="0" xfId="0" applyNumberFormat="1" applyFont="1"/>
    <xf numFmtId="0" fontId="12" fillId="0" borderId="0" xfId="0" applyFont="1" applyAlignment="1">
      <alignment vertical="top"/>
    </xf>
    <xf numFmtId="0" fontId="12" fillId="0" borderId="0" xfId="0" applyFont="1" applyAlignment="1">
      <alignment vertical="center"/>
    </xf>
    <xf numFmtId="44" fontId="12" fillId="0" borderId="0" xfId="0" applyNumberFormat="1" applyFont="1"/>
    <xf numFmtId="9" fontId="12" fillId="0" borderId="0" xfId="3" applyFont="1"/>
    <xf numFmtId="0" fontId="11" fillId="9" borderId="1" xfId="0" applyFont="1" applyFill="1" applyBorder="1" applyAlignment="1">
      <alignment horizontal="center" vertical="center"/>
    </xf>
    <xf numFmtId="10" fontId="11" fillId="9" borderId="1" xfId="3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2" fillId="0" borderId="13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vertical="center" wrapText="1"/>
    </xf>
    <xf numFmtId="0" fontId="2" fillId="0" borderId="13" xfId="0" applyFont="1" applyFill="1" applyBorder="1" applyAlignment="1">
      <alignment vertical="center" wrapText="1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top" wrapText="1"/>
    </xf>
    <xf numFmtId="0" fontId="2" fillId="0" borderId="20" xfId="0" applyFont="1" applyFill="1" applyBorder="1" applyAlignment="1">
      <alignment vertical="center" wrapText="1"/>
    </xf>
    <xf numFmtId="0" fontId="11" fillId="9" borderId="1" xfId="0" applyFont="1" applyFill="1" applyBorder="1" applyAlignment="1">
      <alignment horizontal="center"/>
    </xf>
    <xf numFmtId="0" fontId="11" fillId="7" borderId="1" xfId="0" applyFont="1" applyFill="1" applyBorder="1" applyAlignment="1">
      <alignment horizontal="center" vertical="center" wrapText="1"/>
    </xf>
    <xf numFmtId="0" fontId="11" fillId="9" borderId="18" xfId="0" applyFont="1" applyFill="1" applyBorder="1" applyAlignment="1">
      <alignment horizontal="center"/>
    </xf>
    <xf numFmtId="0" fontId="11" fillId="9" borderId="19" xfId="0" applyFont="1" applyFill="1" applyBorder="1" applyAlignment="1">
      <alignment horizontal="center"/>
    </xf>
    <xf numFmtId="0" fontId="11" fillId="9" borderId="17" xfId="0" applyFont="1" applyFill="1" applyBorder="1" applyAlignment="1">
      <alignment horizontal="center"/>
    </xf>
    <xf numFmtId="0" fontId="10" fillId="0" borderId="24" xfId="0" applyFont="1" applyBorder="1" applyAlignment="1">
      <alignment horizontal="left" vertical="center" wrapText="1"/>
    </xf>
    <xf numFmtId="0" fontId="11" fillId="7" borderId="1" xfId="0" applyFont="1" applyFill="1" applyBorder="1" applyAlignment="1">
      <alignment horizontal="center"/>
    </xf>
    <xf numFmtId="0" fontId="10" fillId="0" borderId="24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/>
    </xf>
    <xf numFmtId="0" fontId="3" fillId="2" borderId="18" xfId="0" applyFont="1" applyFill="1" applyBorder="1" applyAlignment="1">
      <alignment horizontal="center"/>
    </xf>
    <xf numFmtId="0" fontId="3" fillId="2" borderId="19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0" fillId="0" borderId="1" xfId="0" applyFill="1" applyBorder="1" applyAlignment="1">
      <alignment horizontal="left" wrapText="1"/>
    </xf>
    <xf numFmtId="0" fontId="6" fillId="0" borderId="0" xfId="0" applyFont="1" applyBorder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</cellXfs>
  <cellStyles count="4">
    <cellStyle name="Millares" xfId="1" builtinId="3"/>
    <cellStyle name="Moneda" xfId="2" builtinId="4"/>
    <cellStyle name="Normal" xfId="0" builtinId="0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Hoja1!$B$8</c:f>
              <c:strCache>
                <c:ptCount val="1"/>
                <c:pt idx="0">
                  <c:v>Programado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Hoja1!$A$9:$A$11</c:f>
              <c:strCache>
                <c:ptCount val="3"/>
                <c:pt idx="0">
                  <c:v>Local Intermedia</c:v>
                </c:pt>
                <c:pt idx="1">
                  <c:v>Arterial</c:v>
                </c:pt>
                <c:pt idx="2">
                  <c:v>Rural</c:v>
                </c:pt>
              </c:strCache>
            </c:strRef>
          </c:cat>
          <c:val>
            <c:numRef>
              <c:f>Hoja1!$B$9:$B$11</c:f>
              <c:numCache>
                <c:formatCode>General</c:formatCode>
                <c:ptCount val="3"/>
                <c:pt idx="0">
                  <c:v>444.86</c:v>
                </c:pt>
                <c:pt idx="1">
                  <c:v>20</c:v>
                </c:pt>
                <c:pt idx="2">
                  <c:v>10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BC6-4AB9-8DD7-E7B5DB984690}"/>
            </c:ext>
          </c:extLst>
        </c:ser>
        <c:ser>
          <c:idx val="1"/>
          <c:order val="1"/>
          <c:tx>
            <c:strRef>
              <c:f>Hoja1!$C$8</c:f>
              <c:strCache>
                <c:ptCount val="1"/>
                <c:pt idx="0">
                  <c:v>Ejecutado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Hoja1!$A$9:$A$11</c:f>
              <c:strCache>
                <c:ptCount val="3"/>
                <c:pt idx="0">
                  <c:v>Local Intermedia</c:v>
                </c:pt>
                <c:pt idx="1">
                  <c:v>Arterial</c:v>
                </c:pt>
                <c:pt idx="2">
                  <c:v>Rural</c:v>
                </c:pt>
              </c:strCache>
            </c:strRef>
          </c:cat>
          <c:val>
            <c:numRef>
              <c:f>Hoja1!$C$9:$C$11</c:f>
              <c:numCache>
                <c:formatCode>General</c:formatCode>
                <c:ptCount val="3"/>
                <c:pt idx="0">
                  <c:v>15.83</c:v>
                </c:pt>
                <c:pt idx="1">
                  <c:v>3.31</c:v>
                </c:pt>
                <c:pt idx="2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BC6-4AB9-8DD7-E7B5DB9846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1048552"/>
        <c:axId val="131047768"/>
      </c:barChart>
      <c:catAx>
        <c:axId val="131048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31047768"/>
        <c:crosses val="autoZero"/>
        <c:auto val="1"/>
        <c:lblAlgn val="ctr"/>
        <c:lblOffset val="100"/>
        <c:noMultiLvlLbl val="0"/>
      </c:catAx>
      <c:valAx>
        <c:axId val="131047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310485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Hoja1!$B$14</c:f>
              <c:strCache>
                <c:ptCount val="1"/>
                <c:pt idx="0">
                  <c:v>Programado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Hoja1!$A$15</c:f>
              <c:strCache>
                <c:ptCount val="1"/>
                <c:pt idx="0">
                  <c:v>Cicloinfraestructura</c:v>
                </c:pt>
              </c:strCache>
            </c:strRef>
          </c:cat>
          <c:val>
            <c:numRef>
              <c:f>Hoja1!$B$15</c:f>
              <c:numCache>
                <c:formatCode>General</c:formatCode>
                <c:ptCount val="1"/>
                <c:pt idx="0">
                  <c:v>28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EF4-45BB-AC47-38206EA8D23C}"/>
            </c:ext>
          </c:extLst>
        </c:ser>
        <c:ser>
          <c:idx val="1"/>
          <c:order val="1"/>
          <c:tx>
            <c:strRef>
              <c:f>Hoja1!$C$14</c:f>
              <c:strCache>
                <c:ptCount val="1"/>
                <c:pt idx="0">
                  <c:v>Ejecutado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Hoja1!$A$15</c:f>
              <c:strCache>
                <c:ptCount val="1"/>
                <c:pt idx="0">
                  <c:v>Cicloinfraestructura</c:v>
                </c:pt>
              </c:strCache>
            </c:strRef>
          </c:cat>
          <c:val>
            <c:numRef>
              <c:f>Hoja1!$C$15</c:f>
              <c:numCache>
                <c:formatCode>General</c:formatCode>
                <c:ptCount val="1"/>
                <c:pt idx="0">
                  <c:v>0.37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EF4-45BB-AC47-38206EA8D2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1048944"/>
        <c:axId val="131046592"/>
      </c:barChart>
      <c:catAx>
        <c:axId val="131048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31046592"/>
        <c:crosses val="autoZero"/>
        <c:auto val="1"/>
        <c:lblAlgn val="ctr"/>
        <c:lblOffset val="100"/>
        <c:noMultiLvlLbl val="0"/>
      </c:catAx>
      <c:valAx>
        <c:axId val="131046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310489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Hoja1!$B$2</c:f>
              <c:strCache>
                <c:ptCount val="1"/>
                <c:pt idx="0">
                  <c:v>Programado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Hoja1!$A$3</c:f>
              <c:strCache>
                <c:ptCount val="1"/>
                <c:pt idx="0">
                  <c:v>Espacio publico </c:v>
                </c:pt>
              </c:strCache>
            </c:strRef>
          </c:cat>
          <c:val>
            <c:numRef>
              <c:f>Hoja1!$B$3</c:f>
              <c:numCache>
                <c:formatCode>General</c:formatCode>
                <c:ptCount val="1"/>
                <c:pt idx="0">
                  <c:v>30000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164-4065-85F0-DBC212585DEB}"/>
            </c:ext>
          </c:extLst>
        </c:ser>
        <c:ser>
          <c:idx val="1"/>
          <c:order val="1"/>
          <c:tx>
            <c:strRef>
              <c:f>Hoja1!$C$2</c:f>
              <c:strCache>
                <c:ptCount val="1"/>
                <c:pt idx="0">
                  <c:v>Ejecutado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Hoja1!$A$3</c:f>
              <c:strCache>
                <c:ptCount val="1"/>
                <c:pt idx="0">
                  <c:v>Espacio publico </c:v>
                </c:pt>
              </c:strCache>
            </c:strRef>
          </c:cat>
          <c:val>
            <c:numRef>
              <c:f>Hoja1!$C$3</c:f>
              <c:numCache>
                <c:formatCode>General</c:formatCode>
                <c:ptCount val="1"/>
                <c:pt idx="0">
                  <c:v>6011.41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164-4065-85F0-DBC212585D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43674064"/>
        <c:axId val="343671712"/>
      </c:barChart>
      <c:catAx>
        <c:axId val="343674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43671712"/>
        <c:crosses val="autoZero"/>
        <c:auto val="1"/>
        <c:lblAlgn val="ctr"/>
        <c:lblOffset val="100"/>
        <c:noMultiLvlLbl val="0"/>
      </c:catAx>
      <c:valAx>
        <c:axId val="343671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436740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533400</xdr:colOff>
      <xdr:row>2</xdr:row>
      <xdr:rowOff>180975</xdr:rowOff>
    </xdr:from>
    <xdr:to>
      <xdr:col>12</xdr:col>
      <xdr:colOff>533400</xdr:colOff>
      <xdr:row>17</xdr:row>
      <xdr:rowOff>66675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19</xdr:row>
      <xdr:rowOff>0</xdr:rowOff>
    </xdr:from>
    <xdr:to>
      <xdr:col>12</xdr:col>
      <xdr:colOff>0</xdr:colOff>
      <xdr:row>33</xdr:row>
      <xdr:rowOff>76200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4</xdr:col>
      <xdr:colOff>57150</xdr:colOff>
      <xdr:row>48</xdr:row>
      <xdr:rowOff>76200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2023\Proyectos\10.%20OCTUBRE\Metas%20785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ersion (2)"/>
      <sheetName val="Gestión"/>
      <sheetName val="Inversión Junio"/>
      <sheetName val="Inversion"/>
      <sheetName val="Inversión Junio (2)"/>
      <sheetName val="Gestión (2)"/>
      <sheetName val="Inversión POAI 2023"/>
      <sheetName val="Gestión POAI"/>
      <sheetName val="Hoja4"/>
      <sheetName val="Hoja3"/>
    </sheetNames>
    <sheetDataSet>
      <sheetData sheetId="0"/>
      <sheetData sheetId="1"/>
      <sheetData sheetId="2"/>
      <sheetData sheetId="3"/>
      <sheetData sheetId="4">
        <row r="13">
          <cell r="C13">
            <v>228.54</v>
          </cell>
          <cell r="D13">
            <v>228.54</v>
          </cell>
        </row>
        <row r="14">
          <cell r="C14">
            <v>380.8</v>
          </cell>
          <cell r="D14">
            <v>380.8</v>
          </cell>
        </row>
        <row r="15">
          <cell r="C15">
            <v>440.55</v>
          </cell>
          <cell r="D15">
            <v>447.75</v>
          </cell>
        </row>
        <row r="16">
          <cell r="C16">
            <v>195.33</v>
          </cell>
          <cell r="D16">
            <v>195.33</v>
          </cell>
        </row>
        <row r="17">
          <cell r="C17">
            <v>115.72</v>
          </cell>
          <cell r="D17">
            <v>115.72</v>
          </cell>
        </row>
        <row r="22">
          <cell r="C22">
            <v>14.11</v>
          </cell>
          <cell r="D22">
            <v>14.11</v>
          </cell>
        </row>
        <row r="23">
          <cell r="C23">
            <v>19.54</v>
          </cell>
          <cell r="D23">
            <v>19.54</v>
          </cell>
        </row>
        <row r="24">
          <cell r="C24">
            <v>14.57</v>
          </cell>
          <cell r="D24">
            <v>29</v>
          </cell>
        </row>
        <row r="25">
          <cell r="C25">
            <v>20</v>
          </cell>
          <cell r="D25">
            <v>20</v>
          </cell>
        </row>
        <row r="26">
          <cell r="C26">
            <v>11.78</v>
          </cell>
          <cell r="D26">
            <v>11.78</v>
          </cell>
        </row>
        <row r="31">
          <cell r="C31">
            <v>2.7</v>
          </cell>
          <cell r="D31">
            <v>2.7</v>
          </cell>
        </row>
        <row r="32">
          <cell r="C32">
            <v>7.18</v>
          </cell>
          <cell r="D32">
            <v>7.18</v>
          </cell>
        </row>
        <row r="33">
          <cell r="C33">
            <v>9.5</v>
          </cell>
          <cell r="D33">
            <v>9.5</v>
          </cell>
        </row>
        <row r="34">
          <cell r="C34">
            <v>9</v>
          </cell>
          <cell r="D34">
            <v>9</v>
          </cell>
        </row>
        <row r="35">
          <cell r="C35">
            <v>5.62</v>
          </cell>
          <cell r="D35">
            <v>5.62</v>
          </cell>
        </row>
      </sheetData>
      <sheetData sheetId="5"/>
      <sheetData sheetId="6">
        <row r="13">
          <cell r="E13">
            <v>228.54</v>
          </cell>
        </row>
        <row r="14">
          <cell r="E14">
            <v>380.8</v>
          </cell>
        </row>
        <row r="15">
          <cell r="E15">
            <v>447.75</v>
          </cell>
        </row>
        <row r="16">
          <cell r="E16">
            <v>444.86</v>
          </cell>
        </row>
        <row r="17">
          <cell r="E17">
            <v>92.8</v>
          </cell>
        </row>
        <row r="22">
          <cell r="E22">
            <v>14.11</v>
          </cell>
        </row>
        <row r="23">
          <cell r="E23">
            <v>19.54</v>
          </cell>
        </row>
        <row r="24">
          <cell r="E24">
            <v>30.12</v>
          </cell>
        </row>
        <row r="25">
          <cell r="E25">
            <v>25</v>
          </cell>
        </row>
        <row r="26">
          <cell r="E26">
            <v>5.66</v>
          </cell>
        </row>
        <row r="31">
          <cell r="E31">
            <v>2.7</v>
          </cell>
        </row>
        <row r="32">
          <cell r="E32">
            <v>7.18</v>
          </cell>
        </row>
        <row r="33">
          <cell r="E33">
            <v>9.68</v>
          </cell>
        </row>
        <row r="34">
          <cell r="E34">
            <v>10</v>
          </cell>
        </row>
        <row r="35">
          <cell r="E35">
            <v>4.4400000000000004</v>
          </cell>
        </row>
      </sheetData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9"/>
  <sheetViews>
    <sheetView topLeftCell="D1" zoomScale="90" zoomScaleNormal="90" workbookViewId="0">
      <selection sqref="A1:J1"/>
    </sheetView>
  </sheetViews>
  <sheetFormatPr baseColWidth="10" defaultColWidth="11.42578125" defaultRowHeight="12.75" x14ac:dyDescent="0.2"/>
  <cols>
    <col min="1" max="1" width="46.140625" style="16" customWidth="1"/>
    <col min="2" max="2" width="44.28515625" style="1" customWidth="1"/>
    <col min="3" max="3" width="59.140625" style="16" customWidth="1"/>
    <col min="4" max="4" width="31" style="18" customWidth="1"/>
    <col min="5" max="5" width="14.85546875" style="1" customWidth="1"/>
    <col min="6" max="7" width="14.85546875" style="17" customWidth="1"/>
    <col min="8" max="13" width="15.28515625" style="1" customWidth="1"/>
    <col min="14" max="14" width="11.42578125" style="1"/>
    <col min="15" max="15" width="11.42578125" style="29"/>
    <col min="16" max="16" width="12.42578125" style="1" bestFit="1" customWidth="1"/>
    <col min="17" max="16384" width="11.42578125" style="1"/>
  </cols>
  <sheetData>
    <row r="1" spans="1:16" ht="27.75" customHeight="1" x14ac:dyDescent="0.2">
      <c r="A1" s="207" t="s">
        <v>5</v>
      </c>
      <c r="B1" s="207"/>
      <c r="C1" s="207"/>
      <c r="D1" s="207"/>
      <c r="E1" s="207"/>
      <c r="F1" s="207"/>
      <c r="G1" s="207"/>
      <c r="H1" s="207"/>
      <c r="I1" s="207"/>
      <c r="J1" s="207"/>
    </row>
    <row r="2" spans="1:16" s="2" customFormat="1" x14ac:dyDescent="0.2">
      <c r="A2" s="211" t="s">
        <v>11</v>
      </c>
      <c r="B2" s="211" t="s">
        <v>9</v>
      </c>
      <c r="C2" s="211" t="s">
        <v>10</v>
      </c>
      <c r="D2" s="23"/>
      <c r="E2" s="205">
        <v>2020</v>
      </c>
      <c r="F2" s="205"/>
      <c r="G2" s="205"/>
      <c r="H2" s="205">
        <v>2021</v>
      </c>
      <c r="I2" s="205"/>
      <c r="J2" s="205"/>
      <c r="K2" s="205">
        <v>2022</v>
      </c>
      <c r="L2" s="205"/>
      <c r="M2" s="205"/>
      <c r="O2" s="30"/>
    </row>
    <row r="3" spans="1:16" s="2" customFormat="1" x14ac:dyDescent="0.2">
      <c r="A3" s="211"/>
      <c r="B3" s="211"/>
      <c r="C3" s="211"/>
      <c r="D3" s="24"/>
      <c r="E3" s="19" t="s">
        <v>0</v>
      </c>
      <c r="F3" s="19" t="s">
        <v>1</v>
      </c>
      <c r="G3" s="3" t="s">
        <v>2</v>
      </c>
      <c r="H3" s="19" t="s">
        <v>0</v>
      </c>
      <c r="I3" s="19" t="s">
        <v>1</v>
      </c>
      <c r="J3" s="3" t="s">
        <v>2</v>
      </c>
      <c r="K3" s="22" t="s">
        <v>0</v>
      </c>
      <c r="L3" s="22" t="s">
        <v>1</v>
      </c>
      <c r="M3" s="3" t="s">
        <v>2</v>
      </c>
      <c r="O3" s="30"/>
    </row>
    <row r="4" spans="1:16" s="8" customFormat="1" ht="18" customHeight="1" x14ac:dyDescent="0.2">
      <c r="A4" s="208" t="s">
        <v>12</v>
      </c>
      <c r="B4" s="206" t="s">
        <v>6</v>
      </c>
      <c r="C4" s="206" t="s">
        <v>18</v>
      </c>
      <c r="D4" s="25" t="s">
        <v>3</v>
      </c>
      <c r="E4" s="4">
        <v>0</v>
      </c>
      <c r="F4" s="4">
        <v>0</v>
      </c>
      <c r="G4" s="5">
        <v>0</v>
      </c>
      <c r="H4" s="21">
        <v>30000</v>
      </c>
      <c r="I4" s="4">
        <v>31159.599999999999</v>
      </c>
      <c r="J4" s="7">
        <f>I4/H4</f>
        <v>1.0386533333333332</v>
      </c>
      <c r="K4" s="6">
        <v>50800</v>
      </c>
      <c r="L4" s="6">
        <v>20782.330000000002</v>
      </c>
      <c r="M4" s="7">
        <f t="shared" ref="M4:M27" si="0">L4/K4</f>
        <v>0.40910098425196856</v>
      </c>
      <c r="O4" s="31">
        <f>+I4+L4</f>
        <v>51941.93</v>
      </c>
    </row>
    <row r="5" spans="1:16" s="12" customFormat="1" ht="18" customHeight="1" x14ac:dyDescent="0.2">
      <c r="A5" s="208"/>
      <c r="B5" s="212"/>
      <c r="C5" s="212"/>
      <c r="D5" s="26" t="s">
        <v>4</v>
      </c>
      <c r="E5" s="9">
        <v>0</v>
      </c>
      <c r="F5" s="9">
        <v>0</v>
      </c>
      <c r="G5" s="10">
        <v>0</v>
      </c>
      <c r="H5" s="9">
        <v>4008</v>
      </c>
      <c r="I5" s="9">
        <v>3456</v>
      </c>
      <c r="J5" s="11">
        <f>I5/H5</f>
        <v>0.86227544910179643</v>
      </c>
      <c r="K5" s="9">
        <v>6742</v>
      </c>
      <c r="L5" s="9">
        <v>2812</v>
      </c>
      <c r="M5" s="7">
        <f t="shared" si="0"/>
        <v>0.41708691782853752</v>
      </c>
      <c r="O5" s="31">
        <f>+I5+L5</f>
        <v>6268</v>
      </c>
    </row>
    <row r="6" spans="1:16" s="12" customFormat="1" ht="14.25" customHeight="1" x14ac:dyDescent="0.2">
      <c r="A6" s="208" t="s">
        <v>13</v>
      </c>
      <c r="B6" s="206" t="s">
        <v>7</v>
      </c>
      <c r="C6" s="206" t="s">
        <v>29</v>
      </c>
      <c r="D6" s="25" t="s">
        <v>3</v>
      </c>
      <c r="E6" s="4">
        <v>7</v>
      </c>
      <c r="F6" s="6">
        <v>8.73</v>
      </c>
      <c r="G6" s="13">
        <f>F6/E6</f>
        <v>1.2471428571428571</v>
      </c>
      <c r="H6" s="21">
        <v>25.5</v>
      </c>
      <c r="I6" s="4">
        <v>27.53</v>
      </c>
      <c r="J6" s="7">
        <f t="shared" ref="J6:J27" si="1">I6/H6</f>
        <v>1.0796078431372549</v>
      </c>
      <c r="K6" s="21">
        <v>20.3</v>
      </c>
      <c r="L6" s="21">
        <v>14.43</v>
      </c>
      <c r="M6" s="7">
        <f t="shared" si="0"/>
        <v>0.71083743842364533</v>
      </c>
      <c r="O6" s="31">
        <f>+F6+I6+L6</f>
        <v>50.690000000000005</v>
      </c>
    </row>
    <row r="7" spans="1:16" s="12" customFormat="1" ht="14.25" customHeight="1" x14ac:dyDescent="0.2">
      <c r="A7" s="208"/>
      <c r="B7" s="206"/>
      <c r="C7" s="206"/>
      <c r="D7" s="26" t="s">
        <v>4</v>
      </c>
      <c r="E7" s="9">
        <v>323</v>
      </c>
      <c r="F7" s="9">
        <v>303</v>
      </c>
      <c r="G7" s="14">
        <f>F7/E7</f>
        <v>0.9380804953560371</v>
      </c>
      <c r="H7" s="9">
        <v>12571</v>
      </c>
      <c r="I7" s="9">
        <v>12571</v>
      </c>
      <c r="J7" s="11">
        <f t="shared" si="1"/>
        <v>1</v>
      </c>
      <c r="K7" s="9">
        <v>10926</v>
      </c>
      <c r="L7" s="9">
        <v>9788</v>
      </c>
      <c r="M7" s="7">
        <f t="shared" si="0"/>
        <v>0.89584477393373607</v>
      </c>
      <c r="O7" s="31">
        <f>+F7+I7+L7</f>
        <v>22662</v>
      </c>
    </row>
    <row r="8" spans="1:16" s="12" customFormat="1" ht="14.25" customHeight="1" x14ac:dyDescent="0.2">
      <c r="A8" s="208"/>
      <c r="B8" s="206" t="s">
        <v>8</v>
      </c>
      <c r="C8" s="206" t="s">
        <v>30</v>
      </c>
      <c r="D8" s="25" t="s">
        <v>3</v>
      </c>
      <c r="E8" s="15">
        <v>219.26</v>
      </c>
      <c r="F8" s="15">
        <v>228.54</v>
      </c>
      <c r="G8" s="13">
        <f t="shared" ref="G8:G27" si="2">F8/E8</f>
        <v>1.0423241813372253</v>
      </c>
      <c r="H8" s="21">
        <v>410.08</v>
      </c>
      <c r="I8" s="21">
        <v>380.8</v>
      </c>
      <c r="J8" s="7">
        <f t="shared" si="1"/>
        <v>0.9285992976980102</v>
      </c>
      <c r="K8" s="21">
        <v>447.75</v>
      </c>
      <c r="L8" s="21">
        <v>333.18</v>
      </c>
      <c r="M8" s="7">
        <f t="shared" si="0"/>
        <v>0.74412060301507543</v>
      </c>
      <c r="N8" s="12">
        <f>+L8+L10+L12</f>
        <v>357.37</v>
      </c>
      <c r="O8" s="31">
        <f t="shared" ref="O8:O27" si="3">+F8+I8+L8</f>
        <v>942.52</v>
      </c>
      <c r="P8" s="12">
        <f>+O8+O10+O12</f>
        <v>1010.24</v>
      </c>
    </row>
    <row r="9" spans="1:16" s="12" customFormat="1" ht="14.25" customHeight="1" x14ac:dyDescent="0.2">
      <c r="A9" s="208"/>
      <c r="B9" s="206"/>
      <c r="C9" s="206"/>
      <c r="D9" s="26" t="s">
        <v>4</v>
      </c>
      <c r="E9" s="9">
        <v>38336</v>
      </c>
      <c r="F9" s="9">
        <v>32996</v>
      </c>
      <c r="G9" s="14">
        <f t="shared" si="2"/>
        <v>0.86070534223706174</v>
      </c>
      <c r="H9" s="9">
        <v>88609</v>
      </c>
      <c r="I9" s="9">
        <v>82313</v>
      </c>
      <c r="J9" s="11">
        <f t="shared" si="1"/>
        <v>0.92894626956629689</v>
      </c>
      <c r="K9" s="9">
        <v>100534</v>
      </c>
      <c r="L9" s="9">
        <v>70837</v>
      </c>
      <c r="M9" s="7">
        <f t="shared" si="0"/>
        <v>0.70460739650267568</v>
      </c>
      <c r="N9" s="12">
        <f>+L9+L11+L13</f>
        <v>95197</v>
      </c>
      <c r="O9" s="31">
        <f t="shared" si="3"/>
        <v>186146</v>
      </c>
      <c r="P9" s="12">
        <f>+O9+O11+O13</f>
        <v>242004</v>
      </c>
    </row>
    <row r="10" spans="1:16" s="12" customFormat="1" ht="14.25" customHeight="1" x14ac:dyDescent="0.2">
      <c r="A10" s="208"/>
      <c r="B10" s="206"/>
      <c r="C10" s="206" t="s">
        <v>14</v>
      </c>
      <c r="D10" s="25" t="s">
        <v>3</v>
      </c>
      <c r="E10" s="4">
        <v>8.85</v>
      </c>
      <c r="F10" s="6">
        <v>14.11</v>
      </c>
      <c r="G10" s="13">
        <f t="shared" si="2"/>
        <v>1.5943502824858757</v>
      </c>
      <c r="H10" s="21">
        <v>20</v>
      </c>
      <c r="I10" s="4">
        <v>19.54</v>
      </c>
      <c r="J10" s="7">
        <f t="shared" si="1"/>
        <v>0.97699999999999998</v>
      </c>
      <c r="K10" s="21">
        <v>29</v>
      </c>
      <c r="L10" s="21">
        <v>18.13</v>
      </c>
      <c r="M10" s="7">
        <f t="shared" si="0"/>
        <v>0.6251724137931034</v>
      </c>
      <c r="O10" s="31">
        <f t="shared" si="3"/>
        <v>51.78</v>
      </c>
    </row>
    <row r="11" spans="1:16" s="12" customFormat="1" ht="14.25" customHeight="1" x14ac:dyDescent="0.2">
      <c r="A11" s="208"/>
      <c r="B11" s="206"/>
      <c r="C11" s="206"/>
      <c r="D11" s="26" t="s">
        <v>4</v>
      </c>
      <c r="E11" s="20">
        <v>6934</v>
      </c>
      <c r="F11" s="20">
        <v>6522</v>
      </c>
      <c r="G11" s="14">
        <f t="shared" si="2"/>
        <v>0.94058263628497263</v>
      </c>
      <c r="H11" s="9">
        <v>17030</v>
      </c>
      <c r="I11" s="9">
        <v>17030</v>
      </c>
      <c r="J11" s="11">
        <f t="shared" si="1"/>
        <v>1</v>
      </c>
      <c r="K11" s="9">
        <v>29321</v>
      </c>
      <c r="L11" s="9">
        <v>18199</v>
      </c>
      <c r="M11" s="7">
        <f t="shared" si="0"/>
        <v>0.62068142287097983</v>
      </c>
      <c r="O11" s="31">
        <f t="shared" si="3"/>
        <v>41751</v>
      </c>
    </row>
    <row r="12" spans="1:16" s="12" customFormat="1" ht="14.25" customHeight="1" x14ac:dyDescent="0.2">
      <c r="A12" s="208"/>
      <c r="B12" s="206"/>
      <c r="C12" s="206" t="s">
        <v>15</v>
      </c>
      <c r="D12" s="25" t="s">
        <v>3</v>
      </c>
      <c r="E12" s="4">
        <v>1.44</v>
      </c>
      <c r="F12" s="6">
        <v>2.7</v>
      </c>
      <c r="G12" s="13">
        <f t="shared" si="2"/>
        <v>1.8750000000000002</v>
      </c>
      <c r="H12" s="21">
        <v>7</v>
      </c>
      <c r="I12" s="4">
        <v>7.18</v>
      </c>
      <c r="J12" s="7">
        <f t="shared" si="1"/>
        <v>1.0257142857142856</v>
      </c>
      <c r="K12" s="21">
        <v>9.5</v>
      </c>
      <c r="L12" s="21">
        <v>6.06</v>
      </c>
      <c r="M12" s="7">
        <f t="shared" si="0"/>
        <v>0.63789473684210518</v>
      </c>
      <c r="O12" s="31">
        <f t="shared" si="3"/>
        <v>15.939999999999998</v>
      </c>
    </row>
    <row r="13" spans="1:16" s="12" customFormat="1" ht="14.25" customHeight="1" x14ac:dyDescent="0.2">
      <c r="A13" s="208"/>
      <c r="B13" s="206"/>
      <c r="C13" s="206"/>
      <c r="D13" s="26" t="s">
        <v>4</v>
      </c>
      <c r="E13" s="20">
        <v>335</v>
      </c>
      <c r="F13" s="20">
        <v>295</v>
      </c>
      <c r="G13" s="14">
        <f t="shared" si="2"/>
        <v>0.88059701492537312</v>
      </c>
      <c r="H13" s="9">
        <v>7651</v>
      </c>
      <c r="I13" s="9">
        <v>7651</v>
      </c>
      <c r="J13" s="11">
        <f t="shared" si="1"/>
        <v>1</v>
      </c>
      <c r="K13" s="9">
        <v>8865</v>
      </c>
      <c r="L13" s="9">
        <v>6161</v>
      </c>
      <c r="M13" s="7">
        <f t="shared" si="0"/>
        <v>0.69498025944726449</v>
      </c>
      <c r="O13" s="31">
        <f t="shared" si="3"/>
        <v>14107</v>
      </c>
    </row>
    <row r="14" spans="1:16" s="12" customFormat="1" ht="24.75" customHeight="1" x14ac:dyDescent="0.2">
      <c r="A14" s="208"/>
      <c r="B14" s="210" t="s">
        <v>19</v>
      </c>
      <c r="C14" s="206" t="s">
        <v>20</v>
      </c>
      <c r="D14" s="25" t="s">
        <v>3</v>
      </c>
      <c r="E14" s="15">
        <v>0.1</v>
      </c>
      <c r="F14" s="15">
        <v>0.1</v>
      </c>
      <c r="G14" s="5">
        <f t="shared" si="2"/>
        <v>1</v>
      </c>
      <c r="H14" s="21">
        <v>0.25</v>
      </c>
      <c r="I14" s="4">
        <v>0.25</v>
      </c>
      <c r="J14" s="7">
        <f t="shared" si="1"/>
        <v>1</v>
      </c>
      <c r="K14" s="21">
        <v>0.25</v>
      </c>
      <c r="L14" s="21">
        <v>0.19</v>
      </c>
      <c r="M14" s="7">
        <f t="shared" si="0"/>
        <v>0.76</v>
      </c>
      <c r="O14" s="31">
        <f t="shared" si="3"/>
        <v>0.54</v>
      </c>
    </row>
    <row r="15" spans="1:16" s="12" customFormat="1" ht="36.75" customHeight="1" x14ac:dyDescent="0.2">
      <c r="A15" s="208"/>
      <c r="B15" s="210"/>
      <c r="C15" s="206"/>
      <c r="D15" s="26" t="s">
        <v>4</v>
      </c>
      <c r="E15" s="9">
        <v>19</v>
      </c>
      <c r="F15" s="9">
        <v>19</v>
      </c>
      <c r="G15" s="10">
        <f t="shared" si="2"/>
        <v>1</v>
      </c>
      <c r="H15" s="9">
        <v>130</v>
      </c>
      <c r="I15" s="9">
        <v>129</v>
      </c>
      <c r="J15" s="11">
        <f t="shared" si="1"/>
        <v>0.99230769230769234</v>
      </c>
      <c r="K15" s="9">
        <v>157</v>
      </c>
      <c r="L15" s="9">
        <v>186</v>
      </c>
      <c r="M15" s="7">
        <f t="shared" si="0"/>
        <v>1.1847133757961783</v>
      </c>
      <c r="O15" s="31">
        <f t="shared" si="3"/>
        <v>334</v>
      </c>
    </row>
    <row r="16" spans="1:16" s="12" customFormat="1" ht="25.5" customHeight="1" x14ac:dyDescent="0.2">
      <c r="A16" s="208" t="s">
        <v>16</v>
      </c>
      <c r="B16" s="206" t="s">
        <v>31</v>
      </c>
      <c r="C16" s="209" t="s">
        <v>21</v>
      </c>
      <c r="D16" s="25" t="s">
        <v>3</v>
      </c>
      <c r="E16" s="15">
        <v>85.43</v>
      </c>
      <c r="F16" s="15">
        <v>95.4</v>
      </c>
      <c r="G16" s="5">
        <f t="shared" si="2"/>
        <v>1.11670373405127</v>
      </c>
      <c r="H16" s="21">
        <v>86.43</v>
      </c>
      <c r="I16" s="21">
        <v>86</v>
      </c>
      <c r="J16" s="7">
        <f t="shared" si="1"/>
        <v>0.99502487562189046</v>
      </c>
      <c r="K16" s="21">
        <v>87.43</v>
      </c>
      <c r="L16" s="21">
        <v>84.45</v>
      </c>
      <c r="M16" s="7">
        <f t="shared" si="0"/>
        <v>0.96591558961454871</v>
      </c>
      <c r="O16" s="31">
        <f t="shared" si="3"/>
        <v>265.85000000000002</v>
      </c>
    </row>
    <row r="17" spans="1:26" s="12" customFormat="1" ht="15" customHeight="1" x14ac:dyDescent="0.2">
      <c r="A17" s="208"/>
      <c r="B17" s="206"/>
      <c r="C17" s="209"/>
      <c r="D17" s="26" t="s">
        <v>4</v>
      </c>
      <c r="E17" s="9">
        <v>4</v>
      </c>
      <c r="F17" s="9">
        <v>4</v>
      </c>
      <c r="G17" s="10">
        <f t="shared" si="2"/>
        <v>1</v>
      </c>
      <c r="H17" s="9">
        <v>142</v>
      </c>
      <c r="I17" s="9">
        <v>114</v>
      </c>
      <c r="J17" s="11">
        <f t="shared" si="1"/>
        <v>0.80281690140845074</v>
      </c>
      <c r="K17" s="9">
        <v>450</v>
      </c>
      <c r="L17" s="9">
        <v>31</v>
      </c>
      <c r="M17" s="7">
        <f t="shared" si="0"/>
        <v>6.8888888888888888E-2</v>
      </c>
      <c r="O17" s="31">
        <f t="shared" si="3"/>
        <v>149</v>
      </c>
    </row>
    <row r="18" spans="1:26" s="12" customFormat="1" ht="15.75" customHeight="1" x14ac:dyDescent="0.2">
      <c r="A18" s="208"/>
      <c r="B18" s="208" t="s">
        <v>28</v>
      </c>
      <c r="C18" s="206" t="s">
        <v>22</v>
      </c>
      <c r="D18" s="25" t="s">
        <v>3</v>
      </c>
      <c r="E18" s="15">
        <v>1</v>
      </c>
      <c r="F18" s="15">
        <v>1</v>
      </c>
      <c r="G18" s="13">
        <f t="shared" si="2"/>
        <v>1</v>
      </c>
      <c r="H18" s="21">
        <v>1</v>
      </c>
      <c r="I18" s="21">
        <v>1</v>
      </c>
      <c r="J18" s="11">
        <f t="shared" si="1"/>
        <v>1</v>
      </c>
      <c r="K18" s="21">
        <v>1</v>
      </c>
      <c r="L18" s="21">
        <v>0.5</v>
      </c>
      <c r="M18" s="7">
        <f t="shared" si="0"/>
        <v>0.5</v>
      </c>
      <c r="O18" s="31">
        <f t="shared" si="3"/>
        <v>2.5</v>
      </c>
    </row>
    <row r="19" spans="1:26" s="12" customFormat="1" ht="15.75" customHeight="1" x14ac:dyDescent="0.2">
      <c r="A19" s="208"/>
      <c r="B19" s="208"/>
      <c r="C19" s="206"/>
      <c r="D19" s="26" t="s">
        <v>4</v>
      </c>
      <c r="E19" s="9">
        <v>3476</v>
      </c>
      <c r="F19" s="9">
        <v>2977</v>
      </c>
      <c r="G19" s="14">
        <f t="shared" si="2"/>
        <v>0.8564441887226697</v>
      </c>
      <c r="H19" s="9">
        <v>8599</v>
      </c>
      <c r="I19" s="9">
        <v>8322</v>
      </c>
      <c r="J19" s="11">
        <f t="shared" si="1"/>
        <v>0.96778695197115949</v>
      </c>
      <c r="K19" s="9">
        <v>11474</v>
      </c>
      <c r="L19" s="9">
        <v>9585</v>
      </c>
      <c r="M19" s="7">
        <f t="shared" si="0"/>
        <v>0.8353669165068851</v>
      </c>
      <c r="O19" s="31">
        <f t="shared" si="3"/>
        <v>20884</v>
      </c>
    </row>
    <row r="20" spans="1:26" s="12" customFormat="1" ht="15.75" customHeight="1" x14ac:dyDescent="0.2">
      <c r="A20" s="208"/>
      <c r="B20" s="208"/>
      <c r="C20" s="206" t="s">
        <v>23</v>
      </c>
      <c r="D20" s="25" t="s">
        <v>3</v>
      </c>
      <c r="E20" s="15">
        <v>0.05</v>
      </c>
      <c r="F20" s="15">
        <v>0.05</v>
      </c>
      <c r="G20" s="13">
        <f t="shared" si="2"/>
        <v>1</v>
      </c>
      <c r="H20" s="21">
        <v>0.47</v>
      </c>
      <c r="I20" s="4">
        <v>0.47</v>
      </c>
      <c r="J20" s="7">
        <f t="shared" si="1"/>
        <v>1</v>
      </c>
      <c r="K20" s="21">
        <v>0.55000000000000004</v>
      </c>
      <c r="L20" s="21">
        <v>0.27</v>
      </c>
      <c r="M20" s="7">
        <f t="shared" si="0"/>
        <v>0.49090909090909091</v>
      </c>
      <c r="O20" s="31">
        <f t="shared" si="3"/>
        <v>0.79</v>
      </c>
    </row>
    <row r="21" spans="1:26" s="12" customFormat="1" ht="15.75" customHeight="1" x14ac:dyDescent="0.2">
      <c r="A21" s="208"/>
      <c r="B21" s="208"/>
      <c r="C21" s="206"/>
      <c r="D21" s="26" t="s">
        <v>4</v>
      </c>
      <c r="E21" s="20">
        <v>657</v>
      </c>
      <c r="F21" s="20">
        <v>243</v>
      </c>
      <c r="G21" s="14">
        <f t="shared" si="2"/>
        <v>0.36986301369863012</v>
      </c>
      <c r="H21" s="9">
        <v>9407</v>
      </c>
      <c r="I21" s="9">
        <v>9106</v>
      </c>
      <c r="J21" s="11">
        <f t="shared" si="1"/>
        <v>0.96800255129159141</v>
      </c>
      <c r="K21" s="9">
        <v>10662</v>
      </c>
      <c r="L21" s="9">
        <v>7326</v>
      </c>
      <c r="M21" s="7">
        <f t="shared" si="0"/>
        <v>0.68711311198649405</v>
      </c>
      <c r="O21" s="31">
        <f t="shared" si="3"/>
        <v>16675</v>
      </c>
    </row>
    <row r="22" spans="1:26" s="12" customFormat="1" ht="15.75" customHeight="1" x14ac:dyDescent="0.2">
      <c r="A22" s="208" t="s">
        <v>17</v>
      </c>
      <c r="B22" s="208"/>
      <c r="C22" s="206" t="s">
        <v>24</v>
      </c>
      <c r="D22" s="25" t="s">
        <v>3</v>
      </c>
      <c r="E22" s="15">
        <v>7</v>
      </c>
      <c r="F22" s="15">
        <v>7</v>
      </c>
      <c r="G22" s="13">
        <f t="shared" si="2"/>
        <v>1</v>
      </c>
      <c r="H22" s="21">
        <v>11.5</v>
      </c>
      <c r="I22" s="21">
        <v>11.5</v>
      </c>
      <c r="J22" s="11">
        <f t="shared" si="1"/>
        <v>1</v>
      </c>
      <c r="K22" s="21">
        <v>12.5</v>
      </c>
      <c r="L22" s="21">
        <v>5.01</v>
      </c>
      <c r="M22" s="7">
        <f t="shared" si="0"/>
        <v>0.40079999999999999</v>
      </c>
      <c r="O22" s="31">
        <f t="shared" si="3"/>
        <v>23.509999999999998</v>
      </c>
    </row>
    <row r="23" spans="1:26" s="12" customFormat="1" ht="15.75" customHeight="1" x14ac:dyDescent="0.2">
      <c r="A23" s="208"/>
      <c r="B23" s="208"/>
      <c r="C23" s="206"/>
      <c r="D23" s="26" t="s">
        <v>4</v>
      </c>
      <c r="E23" s="9">
        <v>2099</v>
      </c>
      <c r="F23" s="9">
        <v>2071</v>
      </c>
      <c r="G23" s="14">
        <f t="shared" si="2"/>
        <v>0.98666031443544544</v>
      </c>
      <c r="H23" s="9">
        <v>3046</v>
      </c>
      <c r="I23" s="9">
        <v>2834</v>
      </c>
      <c r="J23" s="11">
        <f t="shared" si="1"/>
        <v>0.93040052527905448</v>
      </c>
      <c r="K23" s="9">
        <v>3794</v>
      </c>
      <c r="L23" s="9">
        <v>1067</v>
      </c>
      <c r="M23" s="7">
        <f t="shared" si="0"/>
        <v>0.2812335266209805</v>
      </c>
      <c r="O23" s="31">
        <f t="shared" si="3"/>
        <v>5972</v>
      </c>
    </row>
    <row r="24" spans="1:26" ht="15.75" customHeight="1" x14ac:dyDescent="0.2">
      <c r="A24" s="208"/>
      <c r="B24" s="208"/>
      <c r="C24" s="206" t="s">
        <v>25</v>
      </c>
      <c r="D24" s="25" t="s">
        <v>3</v>
      </c>
      <c r="E24" s="15">
        <v>0.8</v>
      </c>
      <c r="F24" s="15">
        <v>0.8</v>
      </c>
      <c r="G24" s="13">
        <f t="shared" si="2"/>
        <v>1</v>
      </c>
      <c r="H24" s="21">
        <v>1</v>
      </c>
      <c r="I24" s="21">
        <v>1</v>
      </c>
      <c r="J24" s="11">
        <f t="shared" si="1"/>
        <v>1</v>
      </c>
      <c r="K24" s="21">
        <v>1</v>
      </c>
      <c r="L24" s="21">
        <v>0.5</v>
      </c>
      <c r="M24" s="7">
        <f t="shared" si="0"/>
        <v>0.5</v>
      </c>
      <c r="O24" s="31">
        <f t="shared" si="3"/>
        <v>2.2999999999999998</v>
      </c>
    </row>
    <row r="25" spans="1:26" s="17" customFormat="1" ht="15.75" customHeight="1" x14ac:dyDescent="0.2">
      <c r="A25" s="208"/>
      <c r="B25" s="208"/>
      <c r="C25" s="206"/>
      <c r="D25" s="26" t="s">
        <v>4</v>
      </c>
      <c r="E25" s="9">
        <v>34</v>
      </c>
      <c r="F25" s="9">
        <v>34</v>
      </c>
      <c r="G25" s="14">
        <f t="shared" si="2"/>
        <v>1</v>
      </c>
      <c r="H25" s="9">
        <v>415</v>
      </c>
      <c r="I25" s="9">
        <v>415</v>
      </c>
      <c r="J25" s="11">
        <f t="shared" si="1"/>
        <v>1</v>
      </c>
      <c r="K25" s="9">
        <v>553</v>
      </c>
      <c r="L25" s="9">
        <v>553</v>
      </c>
      <c r="M25" s="7">
        <f t="shared" si="0"/>
        <v>1</v>
      </c>
      <c r="N25" s="1"/>
      <c r="O25" s="31">
        <f t="shared" si="3"/>
        <v>1002</v>
      </c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s="17" customFormat="1" ht="15.75" customHeight="1" x14ac:dyDescent="0.2">
      <c r="A26" s="208"/>
      <c r="B26" s="208"/>
      <c r="C26" s="206" t="s">
        <v>26</v>
      </c>
      <c r="D26" s="25" t="s">
        <v>3</v>
      </c>
      <c r="E26" s="15">
        <v>4.5</v>
      </c>
      <c r="F26" s="15">
        <v>4.5</v>
      </c>
      <c r="G26" s="13">
        <f t="shared" si="2"/>
        <v>1</v>
      </c>
      <c r="H26" s="21">
        <v>13.5</v>
      </c>
      <c r="I26" s="21">
        <v>13.5</v>
      </c>
      <c r="J26" s="11">
        <f t="shared" si="1"/>
        <v>1</v>
      </c>
      <c r="K26" s="21">
        <v>13</v>
      </c>
      <c r="L26" s="21">
        <v>10</v>
      </c>
      <c r="M26" s="7">
        <f t="shared" si="0"/>
        <v>0.76923076923076927</v>
      </c>
      <c r="N26" s="1"/>
      <c r="O26" s="31">
        <f t="shared" si="3"/>
        <v>28</v>
      </c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 x14ac:dyDescent="0.2">
      <c r="A27" s="208"/>
      <c r="B27" s="208"/>
      <c r="C27" s="206"/>
      <c r="D27" s="26" t="s">
        <v>4</v>
      </c>
      <c r="E27" s="9">
        <v>1106</v>
      </c>
      <c r="F27" s="9">
        <v>474</v>
      </c>
      <c r="G27" s="14">
        <f t="shared" si="2"/>
        <v>0.42857142857142855</v>
      </c>
      <c r="H27" s="9">
        <v>2354</v>
      </c>
      <c r="I27" s="9">
        <v>1596</v>
      </c>
      <c r="J27" s="11">
        <f t="shared" si="1"/>
        <v>0.67799490229396775</v>
      </c>
      <c r="K27" s="9">
        <v>2009</v>
      </c>
      <c r="L27" s="9">
        <v>1987</v>
      </c>
      <c r="M27" s="7">
        <f t="shared" si="0"/>
        <v>0.98904927824788447</v>
      </c>
      <c r="O27" s="31">
        <f t="shared" si="3"/>
        <v>4057</v>
      </c>
    </row>
    <row r="28" spans="1:26" x14ac:dyDescent="0.2">
      <c r="A28" s="16" t="s">
        <v>32</v>
      </c>
    </row>
    <row r="29" spans="1:26" x14ac:dyDescent="0.2">
      <c r="A29" s="16" t="s">
        <v>27</v>
      </c>
    </row>
  </sheetData>
  <mergeCells count="29">
    <mergeCell ref="A2:A3"/>
    <mergeCell ref="B2:B3"/>
    <mergeCell ref="E2:G2"/>
    <mergeCell ref="H2:J2"/>
    <mergeCell ref="A4:A5"/>
    <mergeCell ref="B4:B5"/>
    <mergeCell ref="C4:C5"/>
    <mergeCell ref="C2:C3"/>
    <mergeCell ref="C8:C9"/>
    <mergeCell ref="C10:C11"/>
    <mergeCell ref="C12:C13"/>
    <mergeCell ref="B14:B15"/>
    <mergeCell ref="C14:C15"/>
    <mergeCell ref="K2:M2"/>
    <mergeCell ref="C26:C27"/>
    <mergeCell ref="A1:J1"/>
    <mergeCell ref="A16:A21"/>
    <mergeCell ref="B16:B17"/>
    <mergeCell ref="C16:C17"/>
    <mergeCell ref="B18:B27"/>
    <mergeCell ref="C18:C19"/>
    <mergeCell ref="C20:C21"/>
    <mergeCell ref="A22:A27"/>
    <mergeCell ref="C22:C23"/>
    <mergeCell ref="C24:C25"/>
    <mergeCell ref="A6:A15"/>
    <mergeCell ref="B6:B7"/>
    <mergeCell ref="C6:C7"/>
    <mergeCell ref="B8:B13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topLeftCell="A25" workbookViewId="0">
      <selection activeCell="H20" sqref="H20"/>
    </sheetView>
  </sheetViews>
  <sheetFormatPr baseColWidth="10" defaultColWidth="11.42578125" defaultRowHeight="15" x14ac:dyDescent="0.25"/>
  <cols>
    <col min="1" max="1" width="73.28515625" style="57" customWidth="1"/>
    <col min="2" max="2" width="7.42578125" style="57" bestFit="1" customWidth="1"/>
    <col min="3" max="3" width="13" style="57" bestFit="1" customWidth="1"/>
    <col min="4" max="4" width="18.28515625" style="57" bestFit="1" customWidth="1"/>
    <col min="5" max="5" width="14.7109375" style="57" bestFit="1" customWidth="1"/>
    <col min="6" max="7" width="16.28515625" style="57" customWidth="1"/>
    <col min="8" max="8" width="40" style="57" hidden="1" customWidth="1"/>
    <col min="9" max="16384" width="11.42578125" style="57"/>
  </cols>
  <sheetData>
    <row r="1" spans="1:8" x14ac:dyDescent="0.25">
      <c r="A1" s="256" t="s">
        <v>39</v>
      </c>
      <c r="B1" s="256"/>
      <c r="C1" s="55"/>
      <c r="D1" s="55"/>
      <c r="E1" s="55"/>
      <c r="F1" s="55"/>
      <c r="G1" s="55"/>
    </row>
    <row r="2" spans="1:8" x14ac:dyDescent="0.25">
      <c r="B2" s="94"/>
    </row>
    <row r="3" spans="1:8" ht="51" x14ac:dyDescent="0.25">
      <c r="A3" s="60" t="s">
        <v>40</v>
      </c>
      <c r="B3" s="61" t="s">
        <v>41</v>
      </c>
      <c r="C3" s="92" t="s">
        <v>42</v>
      </c>
      <c r="D3" s="92" t="s">
        <v>43</v>
      </c>
      <c r="E3" s="92" t="s">
        <v>44</v>
      </c>
      <c r="F3" s="92" t="s">
        <v>64</v>
      </c>
      <c r="G3" s="92" t="s">
        <v>65</v>
      </c>
      <c r="H3" s="60" t="s">
        <v>45</v>
      </c>
    </row>
    <row r="4" spans="1:8" x14ac:dyDescent="0.25">
      <c r="A4" s="208" t="s">
        <v>46</v>
      </c>
      <c r="B4" s="61">
        <v>2020</v>
      </c>
      <c r="C4" s="73">
        <v>8.73</v>
      </c>
      <c r="D4" s="73">
        <v>8.73</v>
      </c>
      <c r="E4" s="62">
        <v>8.73</v>
      </c>
      <c r="F4" s="62">
        <f>+E4</f>
        <v>8.73</v>
      </c>
      <c r="G4" s="73"/>
      <c r="H4" s="63"/>
    </row>
    <row r="5" spans="1:8" ht="30" x14ac:dyDescent="0.25">
      <c r="A5" s="208"/>
      <c r="B5" s="61">
        <v>2021</v>
      </c>
      <c r="C5" s="66">
        <v>27.53</v>
      </c>
      <c r="D5" s="66">
        <v>27.53</v>
      </c>
      <c r="E5" s="64">
        <v>27.53</v>
      </c>
      <c r="F5" s="64">
        <f>+E5</f>
        <v>27.53</v>
      </c>
      <c r="G5" s="66"/>
      <c r="H5" s="63" t="s">
        <v>47</v>
      </c>
    </row>
    <row r="6" spans="1:8" ht="30" x14ac:dyDescent="0.25">
      <c r="A6" s="208"/>
      <c r="B6" s="61">
        <v>2022</v>
      </c>
      <c r="C6" s="65">
        <v>19.100000000000001</v>
      </c>
      <c r="D6" s="65">
        <f>19.1+1.2</f>
        <v>20.3</v>
      </c>
      <c r="E6" s="87">
        <v>20.3</v>
      </c>
      <c r="F6" s="87" t="e">
        <f>+Inversión!F6</f>
        <v>#REF!</v>
      </c>
      <c r="G6" s="65"/>
      <c r="H6" s="63" t="s">
        <v>48</v>
      </c>
    </row>
    <row r="7" spans="1:8" x14ac:dyDescent="0.25">
      <c r="A7" s="208"/>
      <c r="B7" s="61">
        <v>2023</v>
      </c>
      <c r="C7" s="66">
        <v>16.5</v>
      </c>
      <c r="D7" s="66">
        <v>16.5</v>
      </c>
      <c r="E7" s="66">
        <v>28</v>
      </c>
      <c r="F7" s="66"/>
      <c r="G7" s="66"/>
      <c r="H7" s="63"/>
    </row>
    <row r="8" spans="1:8" x14ac:dyDescent="0.25">
      <c r="A8" s="208"/>
      <c r="B8" s="61">
        <v>2024</v>
      </c>
      <c r="C8" s="66">
        <v>7.14</v>
      </c>
      <c r="D8" s="66">
        <v>7.14</v>
      </c>
      <c r="E8" s="66">
        <v>1</v>
      </c>
      <c r="F8" s="66"/>
      <c r="G8" s="66"/>
      <c r="H8" s="63"/>
    </row>
    <row r="9" spans="1:8" x14ac:dyDescent="0.25">
      <c r="A9" s="208"/>
      <c r="B9" s="61" t="s">
        <v>34</v>
      </c>
      <c r="C9" s="67">
        <f>SUM(C4:C8)</f>
        <v>79.000000000000014</v>
      </c>
      <c r="D9" s="67">
        <f>SUM(D4:D8)</f>
        <v>80.2</v>
      </c>
      <c r="E9" s="67">
        <f>SUM(E4:E8)</f>
        <v>85.56</v>
      </c>
      <c r="F9" s="73" t="e">
        <f>SUM(F4:F8)</f>
        <v>#REF!</v>
      </c>
      <c r="G9" s="91" t="e">
        <f>+F9/E9</f>
        <v>#REF!</v>
      </c>
      <c r="H9" s="65"/>
    </row>
    <row r="11" spans="1:8" x14ac:dyDescent="0.25">
      <c r="B11" s="94"/>
    </row>
    <row r="12" spans="1:8" ht="51" x14ac:dyDescent="0.25">
      <c r="A12" s="60" t="s">
        <v>40</v>
      </c>
      <c r="B12" s="61" t="s">
        <v>41</v>
      </c>
      <c r="C12" s="92" t="s">
        <v>42</v>
      </c>
      <c r="D12" s="92" t="s">
        <v>43</v>
      </c>
      <c r="E12" s="92" t="s">
        <v>44</v>
      </c>
      <c r="F12" s="92" t="s">
        <v>64</v>
      </c>
      <c r="G12" s="92" t="s">
        <v>65</v>
      </c>
      <c r="H12" s="60" t="s">
        <v>45</v>
      </c>
    </row>
    <row r="13" spans="1:8" x14ac:dyDescent="0.25">
      <c r="A13" s="208" t="s">
        <v>49</v>
      </c>
      <c r="B13" s="61">
        <v>2020</v>
      </c>
      <c r="C13" s="67">
        <f>+'[1]Inversión Junio (2)'!C13+'[1]Inversión Junio (2)'!C22+'[1]Inversión Junio (2)'!C31</f>
        <v>245.34999999999997</v>
      </c>
      <c r="D13" s="95">
        <f>+'[1]Inversión Junio (2)'!D13+'[1]Inversión Junio (2)'!D22+'[1]Inversión Junio (2)'!D31</f>
        <v>245.34999999999997</v>
      </c>
      <c r="E13" s="99">
        <f>+'[1]Inversión POAI 2023'!E13+'[1]Inversión POAI 2023'!E22+'[1]Inversión POAI 2023'!E31</f>
        <v>245.34999999999997</v>
      </c>
      <c r="F13" s="99">
        <f>+E13</f>
        <v>245.34999999999997</v>
      </c>
      <c r="G13" s="95"/>
      <c r="H13" s="63"/>
    </row>
    <row r="14" spans="1:8" ht="45" x14ac:dyDescent="0.25">
      <c r="A14" s="208"/>
      <c r="B14" s="61">
        <v>2021</v>
      </c>
      <c r="C14" s="67">
        <f>+'[1]Inversión Junio (2)'!C14+'[1]Inversión Junio (2)'!C23+'[1]Inversión Junio (2)'!C32</f>
        <v>407.52000000000004</v>
      </c>
      <c r="D14" s="95">
        <f>+'[1]Inversión Junio (2)'!D14+'[1]Inversión Junio (2)'!D23+'[1]Inversión Junio (2)'!D32</f>
        <v>407.52000000000004</v>
      </c>
      <c r="E14" s="99">
        <f>+'[1]Inversión POAI 2023'!E14+'[1]Inversión POAI 2023'!E23+'[1]Inversión POAI 2023'!E32</f>
        <v>407.52000000000004</v>
      </c>
      <c r="F14" s="99">
        <f>+E14</f>
        <v>407.52000000000004</v>
      </c>
      <c r="G14" s="95"/>
      <c r="H14" s="63" t="s">
        <v>50</v>
      </c>
    </row>
    <row r="15" spans="1:8" ht="45" x14ac:dyDescent="0.25">
      <c r="A15" s="208"/>
      <c r="B15" s="61">
        <v>2022</v>
      </c>
      <c r="C15" s="67">
        <f>+'[1]Inversión Junio (2)'!C15+'[1]Inversión Junio (2)'!C24+'[1]Inversión Junio (2)'!C33</f>
        <v>464.62</v>
      </c>
      <c r="D15" s="95">
        <f>+'[1]Inversión Junio (2)'!D15+'[1]Inversión Junio (2)'!D24+'[1]Inversión Junio (2)'!D33</f>
        <v>486.25</v>
      </c>
      <c r="E15" s="99">
        <f>+'[1]Inversión POAI 2023'!E15+'[1]Inversión POAI 2023'!E24+'[1]Inversión POAI 2023'!E33</f>
        <v>487.55</v>
      </c>
      <c r="F15" s="99" t="e">
        <f>+Inversión!F15+Inversión!F24+Inversión!F33</f>
        <v>#REF!</v>
      </c>
      <c r="G15" s="95"/>
      <c r="H15" s="63" t="s">
        <v>51</v>
      </c>
    </row>
    <row r="16" spans="1:8" x14ac:dyDescent="0.25">
      <c r="A16" s="208"/>
      <c r="B16" s="61">
        <v>2023</v>
      </c>
      <c r="C16" s="67">
        <f>+'[1]Inversión Junio (2)'!C16+'[1]Inversión Junio (2)'!C25+'[1]Inversión Junio (2)'!C34</f>
        <v>224.33</v>
      </c>
      <c r="D16" s="95">
        <f>+'[1]Inversión Junio (2)'!D16+'[1]Inversión Junio (2)'!D25+'[1]Inversión Junio (2)'!D34</f>
        <v>224.33</v>
      </c>
      <c r="E16" s="95">
        <f>+'[1]Inversión POAI 2023'!E16+'[1]Inversión POAI 2023'!E25+'[1]Inversión POAI 2023'!E34</f>
        <v>479.86</v>
      </c>
      <c r="F16" s="95"/>
      <c r="G16" s="95"/>
      <c r="H16" s="63"/>
    </row>
    <row r="17" spans="1:8" x14ac:dyDescent="0.25">
      <c r="A17" s="208"/>
      <c r="B17" s="61">
        <v>2024</v>
      </c>
      <c r="C17" s="67">
        <f>+'[1]Inversión Junio (2)'!C17+'[1]Inversión Junio (2)'!C26+'[1]Inversión Junio (2)'!C35</f>
        <v>133.12</v>
      </c>
      <c r="D17" s="95">
        <f>+'[1]Inversión Junio (2)'!D17+'[1]Inversión Junio (2)'!D26+'[1]Inversión Junio (2)'!D35</f>
        <v>133.12</v>
      </c>
      <c r="E17" s="95">
        <f>+'[1]Inversión POAI 2023'!E17+'[1]Inversión POAI 2023'!E26+'[1]Inversión POAI 2023'!E35</f>
        <v>102.89999999999999</v>
      </c>
      <c r="F17" s="95"/>
      <c r="G17" s="95"/>
      <c r="H17" s="63"/>
    </row>
    <row r="18" spans="1:8" x14ac:dyDescent="0.25">
      <c r="A18" s="208"/>
      <c r="B18" s="61" t="s">
        <v>34</v>
      </c>
      <c r="C18" s="96">
        <f>SUM(C13:C17)</f>
        <v>1474.94</v>
      </c>
      <c r="D18" s="69">
        <f>SUM(D13:D17)</f>
        <v>1496.5699999999997</v>
      </c>
      <c r="E18" s="69">
        <f>SUM(E13:E17)</f>
        <v>1723.1800000000003</v>
      </c>
      <c r="F18" s="73" t="e">
        <f>SUM(F13:F17)</f>
        <v>#REF!</v>
      </c>
      <c r="G18" s="91" t="e">
        <f>+F18/E18</f>
        <v>#REF!</v>
      </c>
    </row>
    <row r="21" spans="1:8" x14ac:dyDescent="0.25">
      <c r="A21" s="257" t="s">
        <v>52</v>
      </c>
      <c r="B21" s="257"/>
      <c r="C21" s="257"/>
      <c r="D21" s="257"/>
      <c r="E21" s="257"/>
      <c r="F21" s="257"/>
      <c r="G21" s="257"/>
      <c r="H21" s="257"/>
    </row>
    <row r="22" spans="1:8" x14ac:dyDescent="0.25">
      <c r="B22" s="94"/>
      <c r="C22" s="97" t="s">
        <v>53</v>
      </c>
      <c r="D22" s="98" t="s">
        <v>54</v>
      </c>
      <c r="E22" s="98"/>
      <c r="F22" s="98"/>
      <c r="G22" s="98"/>
    </row>
    <row r="23" spans="1:8" ht="51" x14ac:dyDescent="0.25">
      <c r="A23" s="60" t="s">
        <v>10</v>
      </c>
      <c r="B23" s="61" t="s">
        <v>41</v>
      </c>
      <c r="C23" s="92" t="s">
        <v>42</v>
      </c>
      <c r="D23" s="92" t="s">
        <v>43</v>
      </c>
      <c r="E23" s="92" t="s">
        <v>44</v>
      </c>
      <c r="F23" s="92" t="s">
        <v>64</v>
      </c>
      <c r="G23" s="92" t="s">
        <v>65</v>
      </c>
      <c r="H23" s="60" t="s">
        <v>55</v>
      </c>
    </row>
    <row r="24" spans="1:8" x14ac:dyDescent="0.25">
      <c r="A24" s="208" t="s">
        <v>56</v>
      </c>
      <c r="B24" s="61">
        <v>2020</v>
      </c>
      <c r="C24" s="65"/>
      <c r="D24" s="66"/>
      <c r="E24" s="64">
        <v>0</v>
      </c>
      <c r="F24" s="64">
        <v>0</v>
      </c>
      <c r="G24" s="66"/>
      <c r="H24" s="63"/>
    </row>
    <row r="25" spans="1:8" ht="60" x14ac:dyDescent="0.25">
      <c r="A25" s="208"/>
      <c r="B25" s="61">
        <v>2021</v>
      </c>
      <c r="C25" s="74">
        <v>30000</v>
      </c>
      <c r="D25" s="73">
        <v>31159.599999999999</v>
      </c>
      <c r="E25" s="62">
        <v>31159.599999999999</v>
      </c>
      <c r="F25" s="62">
        <f>+E25</f>
        <v>31159.599999999999</v>
      </c>
      <c r="G25" s="73"/>
      <c r="H25" s="63" t="s">
        <v>57</v>
      </c>
    </row>
    <row r="26" spans="1:8" x14ac:dyDescent="0.25">
      <c r="A26" s="208"/>
      <c r="B26" s="61">
        <v>2022</v>
      </c>
      <c r="C26" s="74">
        <v>45000</v>
      </c>
      <c r="D26" s="75">
        <v>45000</v>
      </c>
      <c r="E26" s="100">
        <v>50800</v>
      </c>
      <c r="F26" s="101" t="e">
        <f>+Inversión!F42</f>
        <v>#REF!</v>
      </c>
      <c r="G26" s="75"/>
      <c r="H26" s="63"/>
    </row>
    <row r="27" spans="1:8" x14ac:dyDescent="0.25">
      <c r="A27" s="208"/>
      <c r="B27" s="61">
        <v>2023</v>
      </c>
      <c r="C27" s="75">
        <v>20000</v>
      </c>
      <c r="D27" s="75">
        <v>20000</v>
      </c>
      <c r="E27" s="75">
        <v>30000</v>
      </c>
      <c r="F27" s="75"/>
      <c r="G27" s="75"/>
      <c r="H27" s="63"/>
    </row>
    <row r="28" spans="1:8" x14ac:dyDescent="0.25">
      <c r="A28" s="208"/>
      <c r="B28" s="61">
        <v>2024</v>
      </c>
      <c r="C28" s="65">
        <v>3840.4</v>
      </c>
      <c r="D28" s="73">
        <v>3840.4</v>
      </c>
      <c r="E28" s="73">
        <v>4540.3999999999996</v>
      </c>
      <c r="F28" s="73"/>
      <c r="G28" s="73"/>
      <c r="H28" s="63"/>
    </row>
    <row r="29" spans="1:8" ht="38.25" x14ac:dyDescent="0.25">
      <c r="A29" s="208"/>
      <c r="B29" s="61" t="s">
        <v>34</v>
      </c>
      <c r="C29" s="66"/>
      <c r="D29" s="73">
        <f>SUM(D24:D28)</f>
        <v>100000</v>
      </c>
      <c r="E29" s="73">
        <f>SUM(E25:E28)</f>
        <v>116500</v>
      </c>
      <c r="F29" s="73" t="e">
        <f>SUM(F24:F28)</f>
        <v>#REF!</v>
      </c>
      <c r="G29" s="91" t="e">
        <f>+F29/E29</f>
        <v>#REF!</v>
      </c>
      <c r="H29" s="76" t="s">
        <v>58</v>
      </c>
    </row>
  </sheetData>
  <mergeCells count="5">
    <mergeCell ref="A1:B1"/>
    <mergeCell ref="A4:A9"/>
    <mergeCell ref="A13:A18"/>
    <mergeCell ref="A21:H21"/>
    <mergeCell ref="A24:A2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3"/>
  <sheetViews>
    <sheetView topLeftCell="B1" zoomScale="90" zoomScaleNormal="90" workbookViewId="0">
      <selection sqref="A1:J1"/>
    </sheetView>
  </sheetViews>
  <sheetFormatPr baseColWidth="10" defaultColWidth="11.42578125" defaultRowHeight="12.75" x14ac:dyDescent="0.2"/>
  <cols>
    <col min="1" max="1" width="46.140625" style="16" customWidth="1"/>
    <col min="2" max="2" width="44.28515625" style="1" customWidth="1"/>
    <col min="3" max="3" width="59.140625" style="16" hidden="1" customWidth="1"/>
    <col min="4" max="4" width="13.85546875" style="18" customWidth="1"/>
    <col min="5" max="10" width="13.28515625" style="1" customWidth="1"/>
    <col min="11" max="16384" width="11.42578125" style="1"/>
  </cols>
  <sheetData>
    <row r="1" spans="1:10" ht="27.75" customHeight="1" x14ac:dyDescent="0.2">
      <c r="A1" s="207" t="s">
        <v>5</v>
      </c>
      <c r="B1" s="207"/>
      <c r="C1" s="207"/>
      <c r="D1" s="207"/>
      <c r="E1" s="207"/>
      <c r="F1" s="207"/>
      <c r="G1" s="207"/>
    </row>
    <row r="2" spans="1:10" s="2" customFormat="1" ht="25.5" customHeight="1" x14ac:dyDescent="0.2">
      <c r="A2" s="211" t="s">
        <v>11</v>
      </c>
      <c r="B2" s="211" t="s">
        <v>9</v>
      </c>
      <c r="C2" s="211" t="s">
        <v>10</v>
      </c>
      <c r="D2" s="32"/>
      <c r="E2" s="215">
        <v>2021</v>
      </c>
      <c r="F2" s="215"/>
      <c r="G2" s="215"/>
      <c r="H2" s="215">
        <v>2022</v>
      </c>
      <c r="I2" s="215"/>
      <c r="J2" s="215"/>
    </row>
    <row r="3" spans="1:10" s="2" customFormat="1" ht="24" customHeight="1" x14ac:dyDescent="0.2">
      <c r="A3" s="211"/>
      <c r="B3" s="211"/>
      <c r="C3" s="211"/>
      <c r="D3" s="33"/>
      <c r="E3" s="36" t="s">
        <v>0</v>
      </c>
      <c r="F3" s="36" t="s">
        <v>1</v>
      </c>
      <c r="G3" s="37" t="s">
        <v>2</v>
      </c>
      <c r="H3" s="36" t="s">
        <v>0</v>
      </c>
      <c r="I3" s="36" t="s">
        <v>1</v>
      </c>
      <c r="J3" s="37" t="s">
        <v>2</v>
      </c>
    </row>
    <row r="4" spans="1:10" s="8" customFormat="1" ht="24" customHeight="1" x14ac:dyDescent="0.2">
      <c r="A4" s="208" t="s">
        <v>12</v>
      </c>
      <c r="B4" s="208" t="s">
        <v>6</v>
      </c>
      <c r="C4" s="208" t="s">
        <v>18</v>
      </c>
      <c r="D4" s="34" t="s">
        <v>3</v>
      </c>
      <c r="E4" s="38">
        <v>30000</v>
      </c>
      <c r="F4" s="39">
        <v>31159.599999999999</v>
      </c>
      <c r="G4" s="43">
        <f t="shared" ref="G4:G31" si="0">F4/E4</f>
        <v>1.0386533333333332</v>
      </c>
      <c r="H4" s="40">
        <v>50800</v>
      </c>
      <c r="I4" s="40">
        <v>20782.330000000002</v>
      </c>
      <c r="J4" s="43">
        <f t="shared" ref="J4:J31" si="1">I4/H4</f>
        <v>0.40910098425196856</v>
      </c>
    </row>
    <row r="5" spans="1:10" s="12" customFormat="1" ht="24" customHeight="1" x14ac:dyDescent="0.2">
      <c r="A5" s="208"/>
      <c r="B5" s="216"/>
      <c r="C5" s="216"/>
      <c r="D5" s="35" t="s">
        <v>4</v>
      </c>
      <c r="E5" s="51">
        <v>4008</v>
      </c>
      <c r="F5" s="51">
        <v>3456</v>
      </c>
      <c r="G5" s="45">
        <f t="shared" si="0"/>
        <v>0.86227544910179643</v>
      </c>
      <c r="H5" s="51">
        <v>6742</v>
      </c>
      <c r="I5" s="51">
        <v>2812</v>
      </c>
      <c r="J5" s="45">
        <f t="shared" si="1"/>
        <v>0.41708691782853752</v>
      </c>
    </row>
    <row r="6" spans="1:10" s="12" customFormat="1" ht="24" customHeight="1" x14ac:dyDescent="0.2">
      <c r="A6" s="208" t="s">
        <v>13</v>
      </c>
      <c r="B6" s="206" t="s">
        <v>7</v>
      </c>
      <c r="C6" s="208" t="s">
        <v>29</v>
      </c>
      <c r="D6" s="34" t="s">
        <v>3</v>
      </c>
      <c r="E6" s="41">
        <v>25.5</v>
      </c>
      <c r="F6" s="42">
        <v>27.53</v>
      </c>
      <c r="G6" s="43">
        <f t="shared" si="0"/>
        <v>1.0796078431372549</v>
      </c>
      <c r="H6" s="41">
        <v>20.3</v>
      </c>
      <c r="I6" s="41">
        <v>14.43</v>
      </c>
      <c r="J6" s="43">
        <f t="shared" si="1"/>
        <v>0.71083743842364533</v>
      </c>
    </row>
    <row r="7" spans="1:10" s="12" customFormat="1" ht="24" customHeight="1" x14ac:dyDescent="0.2">
      <c r="A7" s="208"/>
      <c r="B7" s="206"/>
      <c r="C7" s="208"/>
      <c r="D7" s="35" t="s">
        <v>4</v>
      </c>
      <c r="E7" s="44">
        <v>12571</v>
      </c>
      <c r="F7" s="44">
        <v>12571</v>
      </c>
      <c r="G7" s="45">
        <f t="shared" si="0"/>
        <v>1</v>
      </c>
      <c r="H7" s="44">
        <v>10926</v>
      </c>
      <c r="I7" s="44">
        <v>9788</v>
      </c>
      <c r="J7" s="45">
        <f t="shared" si="1"/>
        <v>0.89584477393373607</v>
      </c>
    </row>
    <row r="8" spans="1:10" s="12" customFormat="1" ht="24" customHeight="1" x14ac:dyDescent="0.2">
      <c r="A8" s="208"/>
      <c r="B8" s="213" t="s">
        <v>33</v>
      </c>
      <c r="C8" s="28"/>
      <c r="D8" s="34" t="s">
        <v>3</v>
      </c>
      <c r="E8" s="41">
        <f>+E10+E12+E14</f>
        <v>437.08</v>
      </c>
      <c r="F8" s="41">
        <f>+F10+F12+F14</f>
        <v>407.52000000000004</v>
      </c>
      <c r="G8" s="43">
        <f t="shared" si="0"/>
        <v>0.93236936030017403</v>
      </c>
      <c r="H8" s="41">
        <f>+H10+H12+H14</f>
        <v>486.25</v>
      </c>
      <c r="I8" s="41">
        <f>+I10+I12+I14</f>
        <v>357.37</v>
      </c>
      <c r="J8" s="43">
        <f>I8/H8</f>
        <v>0.73495115681233936</v>
      </c>
    </row>
    <row r="9" spans="1:10" s="12" customFormat="1" ht="24" customHeight="1" x14ac:dyDescent="0.2">
      <c r="A9" s="208"/>
      <c r="B9" s="214"/>
      <c r="C9" s="28"/>
      <c r="D9" s="35" t="s">
        <v>4</v>
      </c>
      <c r="E9" s="46">
        <f>+E11+E13+E15</f>
        <v>113290</v>
      </c>
      <c r="F9" s="46">
        <f>+F11+F13+F15</f>
        <v>106994</v>
      </c>
      <c r="G9" s="45">
        <f t="shared" si="0"/>
        <v>0.94442580986847913</v>
      </c>
      <c r="H9" s="46">
        <f>+H11+H13+H15</f>
        <v>138720</v>
      </c>
      <c r="I9" s="46">
        <f>+I11+I13+I15</f>
        <v>95197</v>
      </c>
      <c r="J9" s="45">
        <f>I9/H9</f>
        <v>0.68625288350634372</v>
      </c>
    </row>
    <row r="10" spans="1:10" s="12" customFormat="1" ht="24" customHeight="1" x14ac:dyDescent="0.2">
      <c r="A10" s="208"/>
      <c r="B10" s="206" t="s">
        <v>8</v>
      </c>
      <c r="C10" s="208" t="s">
        <v>30</v>
      </c>
      <c r="D10" s="34" t="s">
        <v>3</v>
      </c>
      <c r="E10" s="41">
        <v>410.08</v>
      </c>
      <c r="F10" s="41">
        <v>380.8</v>
      </c>
      <c r="G10" s="43">
        <f t="shared" si="0"/>
        <v>0.9285992976980102</v>
      </c>
      <c r="H10" s="41">
        <v>447.75</v>
      </c>
      <c r="I10" s="41">
        <v>333.18</v>
      </c>
      <c r="J10" s="43">
        <f t="shared" si="1"/>
        <v>0.74412060301507543</v>
      </c>
    </row>
    <row r="11" spans="1:10" s="12" customFormat="1" ht="24" customHeight="1" x14ac:dyDescent="0.2">
      <c r="A11" s="208"/>
      <c r="B11" s="206"/>
      <c r="C11" s="208"/>
      <c r="D11" s="35" t="s">
        <v>4</v>
      </c>
      <c r="E11" s="44">
        <v>88609</v>
      </c>
      <c r="F11" s="44">
        <v>82313</v>
      </c>
      <c r="G11" s="45">
        <f t="shared" si="0"/>
        <v>0.92894626956629689</v>
      </c>
      <c r="H11" s="44">
        <v>100534</v>
      </c>
      <c r="I11" s="44">
        <v>70837</v>
      </c>
      <c r="J11" s="43">
        <f t="shared" si="1"/>
        <v>0.70460739650267568</v>
      </c>
    </row>
    <row r="12" spans="1:10" s="12" customFormat="1" ht="24" customHeight="1" x14ac:dyDescent="0.2">
      <c r="A12" s="208"/>
      <c r="B12" s="206"/>
      <c r="C12" s="208" t="s">
        <v>14</v>
      </c>
      <c r="D12" s="34" t="s">
        <v>3</v>
      </c>
      <c r="E12" s="41">
        <v>20</v>
      </c>
      <c r="F12" s="42">
        <v>19.54</v>
      </c>
      <c r="G12" s="43">
        <f t="shared" si="0"/>
        <v>0.97699999999999998</v>
      </c>
      <c r="H12" s="41">
        <v>29</v>
      </c>
      <c r="I12" s="41">
        <v>18.13</v>
      </c>
      <c r="J12" s="43">
        <f t="shared" si="1"/>
        <v>0.6251724137931034</v>
      </c>
    </row>
    <row r="13" spans="1:10" s="12" customFormat="1" ht="24" customHeight="1" x14ac:dyDescent="0.2">
      <c r="A13" s="208"/>
      <c r="B13" s="206"/>
      <c r="C13" s="208"/>
      <c r="D13" s="35" t="s">
        <v>4</v>
      </c>
      <c r="E13" s="44">
        <v>17030</v>
      </c>
      <c r="F13" s="44">
        <v>17030</v>
      </c>
      <c r="G13" s="45">
        <f t="shared" si="0"/>
        <v>1</v>
      </c>
      <c r="H13" s="44">
        <v>29321</v>
      </c>
      <c r="I13" s="44">
        <v>18199</v>
      </c>
      <c r="J13" s="43">
        <f t="shared" si="1"/>
        <v>0.62068142287097983</v>
      </c>
    </row>
    <row r="14" spans="1:10" s="12" customFormat="1" ht="24" customHeight="1" x14ac:dyDescent="0.2">
      <c r="A14" s="208"/>
      <c r="B14" s="206"/>
      <c r="C14" s="208" t="s">
        <v>15</v>
      </c>
      <c r="D14" s="34" t="s">
        <v>3</v>
      </c>
      <c r="E14" s="41">
        <v>7</v>
      </c>
      <c r="F14" s="42">
        <v>7.18</v>
      </c>
      <c r="G14" s="43">
        <f t="shared" si="0"/>
        <v>1.0257142857142856</v>
      </c>
      <c r="H14" s="41">
        <v>9.5</v>
      </c>
      <c r="I14" s="41">
        <v>6.06</v>
      </c>
      <c r="J14" s="43">
        <f t="shared" si="1"/>
        <v>0.63789473684210518</v>
      </c>
    </row>
    <row r="15" spans="1:10" s="12" customFormat="1" ht="24" customHeight="1" x14ac:dyDescent="0.2">
      <c r="A15" s="208"/>
      <c r="B15" s="206"/>
      <c r="C15" s="208"/>
      <c r="D15" s="35" t="s">
        <v>4</v>
      </c>
      <c r="E15" s="44">
        <v>7651</v>
      </c>
      <c r="F15" s="44">
        <v>7651</v>
      </c>
      <c r="G15" s="45">
        <f t="shared" si="0"/>
        <v>1</v>
      </c>
      <c r="H15" s="44">
        <v>8865</v>
      </c>
      <c r="I15" s="44">
        <v>6161</v>
      </c>
      <c r="J15" s="43">
        <f t="shared" si="1"/>
        <v>0.69498025944726449</v>
      </c>
    </row>
    <row r="16" spans="1:10" s="12" customFormat="1" ht="24" customHeight="1" x14ac:dyDescent="0.2">
      <c r="A16" s="208"/>
      <c r="B16" s="210" t="s">
        <v>19</v>
      </c>
      <c r="C16" s="208" t="s">
        <v>20</v>
      </c>
      <c r="D16" s="34" t="s">
        <v>3</v>
      </c>
      <c r="E16" s="41">
        <v>0.25</v>
      </c>
      <c r="F16" s="42">
        <v>0.25</v>
      </c>
      <c r="G16" s="43">
        <f t="shared" si="0"/>
        <v>1</v>
      </c>
      <c r="H16" s="41">
        <v>0.25</v>
      </c>
      <c r="I16" s="41">
        <v>0.19</v>
      </c>
      <c r="J16" s="43">
        <f t="shared" si="1"/>
        <v>0.76</v>
      </c>
    </row>
    <row r="17" spans="1:20" s="12" customFormat="1" ht="24" customHeight="1" x14ac:dyDescent="0.2">
      <c r="A17" s="208"/>
      <c r="B17" s="210"/>
      <c r="C17" s="208"/>
      <c r="D17" s="35" t="s">
        <v>4</v>
      </c>
      <c r="E17" s="44">
        <v>130</v>
      </c>
      <c r="F17" s="44">
        <v>129</v>
      </c>
      <c r="G17" s="45">
        <f t="shared" si="0"/>
        <v>0.99230769230769234</v>
      </c>
      <c r="H17" s="44">
        <v>157</v>
      </c>
      <c r="I17" s="44">
        <v>186</v>
      </c>
      <c r="J17" s="45">
        <f t="shared" si="1"/>
        <v>1.1847133757961783</v>
      </c>
    </row>
    <row r="18" spans="1:20" s="12" customFormat="1" ht="24" customHeight="1" x14ac:dyDescent="0.2">
      <c r="A18" s="208" t="s">
        <v>16</v>
      </c>
      <c r="B18" s="206" t="s">
        <v>31</v>
      </c>
      <c r="C18" s="206" t="s">
        <v>21</v>
      </c>
      <c r="D18" s="25" t="s">
        <v>3</v>
      </c>
      <c r="E18" s="47">
        <v>86.43</v>
      </c>
      <c r="F18" s="47">
        <v>86</v>
      </c>
      <c r="G18" s="48">
        <f t="shared" si="0"/>
        <v>0.99502487562189046</v>
      </c>
      <c r="H18" s="47">
        <v>87.43</v>
      </c>
      <c r="I18" s="47">
        <v>84.45</v>
      </c>
      <c r="J18" s="48">
        <f t="shared" si="1"/>
        <v>0.96591558961454871</v>
      </c>
    </row>
    <row r="19" spans="1:20" s="12" customFormat="1" ht="24" customHeight="1" x14ac:dyDescent="0.2">
      <c r="A19" s="208"/>
      <c r="B19" s="206"/>
      <c r="C19" s="206"/>
      <c r="D19" s="26" t="s">
        <v>4</v>
      </c>
      <c r="E19" s="49">
        <v>142</v>
      </c>
      <c r="F19" s="49">
        <v>114</v>
      </c>
      <c r="G19" s="50">
        <f t="shared" si="0"/>
        <v>0.80281690140845074</v>
      </c>
      <c r="H19" s="49">
        <v>450</v>
      </c>
      <c r="I19" s="49">
        <v>31</v>
      </c>
      <c r="J19" s="50">
        <f t="shared" si="1"/>
        <v>6.8888888888888888E-2</v>
      </c>
    </row>
    <row r="20" spans="1:20" s="12" customFormat="1" ht="24" customHeight="1" x14ac:dyDescent="0.2">
      <c r="A20" s="208"/>
      <c r="B20" s="213" t="s">
        <v>28</v>
      </c>
      <c r="C20" s="27"/>
      <c r="D20" s="25" t="s">
        <v>3</v>
      </c>
      <c r="E20" s="47">
        <v>65.599999999999994</v>
      </c>
      <c r="F20" s="47">
        <v>87.3</v>
      </c>
      <c r="G20" s="48">
        <f t="shared" si="0"/>
        <v>1.3307926829268293</v>
      </c>
      <c r="H20" s="47">
        <v>66.599999999999994</v>
      </c>
      <c r="I20" s="47">
        <v>90.4</v>
      </c>
      <c r="J20" s="48">
        <f>I20/H20</f>
        <v>1.3573573573573576</v>
      </c>
    </row>
    <row r="21" spans="1:20" s="12" customFormat="1" ht="22.5" customHeight="1" x14ac:dyDescent="0.2">
      <c r="A21" s="208"/>
      <c r="B21" s="214"/>
      <c r="C21" s="27"/>
      <c r="D21" s="26" t="s">
        <v>4</v>
      </c>
      <c r="E21" s="49">
        <f>+E23+E25+E27+E29+E31</f>
        <v>23821</v>
      </c>
      <c r="F21" s="49">
        <f>+F23+F25+F27+F29+F31</f>
        <v>22273</v>
      </c>
      <c r="G21" s="50">
        <f t="shared" si="0"/>
        <v>0.93501532261449982</v>
      </c>
      <c r="H21" s="49">
        <f>+H23+H25+H27+H29+H31</f>
        <v>28492</v>
      </c>
      <c r="I21" s="49">
        <f>+I23+I25+I27+I29+I31</f>
        <v>20518</v>
      </c>
      <c r="J21" s="50">
        <f>I21/H21</f>
        <v>0.72013196686789271</v>
      </c>
    </row>
    <row r="22" spans="1:20" s="12" customFormat="1" ht="15.75" customHeight="1" x14ac:dyDescent="0.2">
      <c r="A22" s="208"/>
      <c r="B22" s="208" t="s">
        <v>28</v>
      </c>
      <c r="C22" s="206" t="s">
        <v>22</v>
      </c>
      <c r="D22" s="25" t="s">
        <v>3</v>
      </c>
      <c r="E22" s="21">
        <v>1</v>
      </c>
      <c r="F22" s="21">
        <v>1</v>
      </c>
      <c r="G22" s="11">
        <f t="shared" si="0"/>
        <v>1</v>
      </c>
      <c r="H22" s="21">
        <v>1</v>
      </c>
      <c r="I22" s="21">
        <v>0.5</v>
      </c>
      <c r="J22" s="7">
        <f t="shared" si="1"/>
        <v>0.5</v>
      </c>
    </row>
    <row r="23" spans="1:20" s="12" customFormat="1" ht="15.75" customHeight="1" x14ac:dyDescent="0.2">
      <c r="A23" s="208"/>
      <c r="B23" s="208"/>
      <c r="C23" s="206"/>
      <c r="D23" s="26" t="s">
        <v>4</v>
      </c>
      <c r="E23" s="9">
        <v>8599</v>
      </c>
      <c r="F23" s="9">
        <v>8322</v>
      </c>
      <c r="G23" s="11">
        <f t="shared" si="0"/>
        <v>0.96778695197115949</v>
      </c>
      <c r="H23" s="9">
        <v>11474</v>
      </c>
      <c r="I23" s="9">
        <v>9585</v>
      </c>
      <c r="J23" s="7">
        <f t="shared" si="1"/>
        <v>0.8353669165068851</v>
      </c>
    </row>
    <row r="24" spans="1:20" s="12" customFormat="1" ht="15.75" customHeight="1" x14ac:dyDescent="0.2">
      <c r="A24" s="208"/>
      <c r="B24" s="208"/>
      <c r="C24" s="206" t="s">
        <v>23</v>
      </c>
      <c r="D24" s="25" t="s">
        <v>3</v>
      </c>
      <c r="E24" s="21">
        <v>0.47</v>
      </c>
      <c r="F24" s="4">
        <v>0.47</v>
      </c>
      <c r="G24" s="7">
        <f t="shared" si="0"/>
        <v>1</v>
      </c>
      <c r="H24" s="21">
        <v>0.55000000000000004</v>
      </c>
      <c r="I24" s="21">
        <v>0.27</v>
      </c>
      <c r="J24" s="7">
        <f t="shared" si="1"/>
        <v>0.49090909090909091</v>
      </c>
    </row>
    <row r="25" spans="1:20" s="12" customFormat="1" ht="15.75" customHeight="1" x14ac:dyDescent="0.2">
      <c r="A25" s="208"/>
      <c r="B25" s="208"/>
      <c r="C25" s="206"/>
      <c r="D25" s="26" t="s">
        <v>4</v>
      </c>
      <c r="E25" s="9">
        <v>9407</v>
      </c>
      <c r="F25" s="9">
        <v>9106</v>
      </c>
      <c r="G25" s="11">
        <f t="shared" si="0"/>
        <v>0.96800255129159141</v>
      </c>
      <c r="H25" s="9">
        <v>10662</v>
      </c>
      <c r="I25" s="9">
        <v>7326</v>
      </c>
      <c r="J25" s="7">
        <f t="shared" si="1"/>
        <v>0.68711311198649405</v>
      </c>
    </row>
    <row r="26" spans="1:20" s="12" customFormat="1" ht="15.75" customHeight="1" x14ac:dyDescent="0.2">
      <c r="A26" s="208" t="s">
        <v>17</v>
      </c>
      <c r="B26" s="208"/>
      <c r="C26" s="206" t="s">
        <v>24</v>
      </c>
      <c r="D26" s="25" t="s">
        <v>3</v>
      </c>
      <c r="E26" s="21">
        <v>11.5</v>
      </c>
      <c r="F26" s="21">
        <v>11.5</v>
      </c>
      <c r="G26" s="11">
        <f t="shared" si="0"/>
        <v>1</v>
      </c>
      <c r="H26" s="21">
        <v>12.5</v>
      </c>
      <c r="I26" s="21">
        <v>5.01</v>
      </c>
      <c r="J26" s="7">
        <f t="shared" si="1"/>
        <v>0.40079999999999999</v>
      </c>
    </row>
    <row r="27" spans="1:20" s="12" customFormat="1" ht="15.75" customHeight="1" x14ac:dyDescent="0.2">
      <c r="A27" s="208"/>
      <c r="B27" s="208"/>
      <c r="C27" s="206"/>
      <c r="D27" s="26" t="s">
        <v>4</v>
      </c>
      <c r="E27" s="9">
        <v>3046</v>
      </c>
      <c r="F27" s="9">
        <v>2834</v>
      </c>
      <c r="G27" s="11">
        <f t="shared" si="0"/>
        <v>0.93040052527905448</v>
      </c>
      <c r="H27" s="9">
        <v>3794</v>
      </c>
      <c r="I27" s="9">
        <v>1067</v>
      </c>
      <c r="J27" s="7">
        <f t="shared" si="1"/>
        <v>0.2812335266209805</v>
      </c>
    </row>
    <row r="28" spans="1:20" ht="15.75" customHeight="1" x14ac:dyDescent="0.2">
      <c r="A28" s="208"/>
      <c r="B28" s="208"/>
      <c r="C28" s="206" t="s">
        <v>25</v>
      </c>
      <c r="D28" s="25" t="s">
        <v>3</v>
      </c>
      <c r="E28" s="21">
        <v>1</v>
      </c>
      <c r="F28" s="21">
        <v>1</v>
      </c>
      <c r="G28" s="11">
        <f t="shared" si="0"/>
        <v>1</v>
      </c>
      <c r="H28" s="21">
        <v>1</v>
      </c>
      <c r="I28" s="21">
        <v>0.5</v>
      </c>
      <c r="J28" s="7">
        <f t="shared" si="1"/>
        <v>0.5</v>
      </c>
    </row>
    <row r="29" spans="1:20" s="17" customFormat="1" ht="15.75" customHeight="1" x14ac:dyDescent="0.2">
      <c r="A29" s="208"/>
      <c r="B29" s="208"/>
      <c r="C29" s="206"/>
      <c r="D29" s="26" t="s">
        <v>4</v>
      </c>
      <c r="E29" s="9">
        <v>415</v>
      </c>
      <c r="F29" s="9">
        <v>415</v>
      </c>
      <c r="G29" s="11">
        <f t="shared" si="0"/>
        <v>1</v>
      </c>
      <c r="H29" s="9">
        <v>553</v>
      </c>
      <c r="I29" s="9">
        <v>553</v>
      </c>
      <c r="J29" s="7">
        <f t="shared" si="1"/>
        <v>1</v>
      </c>
      <c r="K29" s="1"/>
      <c r="L29" s="1"/>
      <c r="M29" s="1"/>
      <c r="N29" s="1"/>
      <c r="O29" s="1"/>
      <c r="P29" s="1"/>
      <c r="Q29" s="1"/>
      <c r="R29" s="1"/>
      <c r="S29" s="1"/>
      <c r="T29" s="1"/>
    </row>
    <row r="30" spans="1:20" s="17" customFormat="1" ht="15.75" customHeight="1" x14ac:dyDescent="0.2">
      <c r="A30" s="208"/>
      <c r="B30" s="208"/>
      <c r="C30" s="206" t="s">
        <v>26</v>
      </c>
      <c r="D30" s="25" t="s">
        <v>3</v>
      </c>
      <c r="E30" s="21">
        <v>13.5</v>
      </c>
      <c r="F30" s="21">
        <v>13.5</v>
      </c>
      <c r="G30" s="11">
        <f t="shared" si="0"/>
        <v>1</v>
      </c>
      <c r="H30" s="21">
        <v>13</v>
      </c>
      <c r="I30" s="21">
        <v>10</v>
      </c>
      <c r="J30" s="7">
        <f t="shared" si="1"/>
        <v>0.76923076923076927</v>
      </c>
      <c r="K30" s="1"/>
      <c r="L30" s="1"/>
      <c r="M30" s="1"/>
      <c r="N30" s="1"/>
      <c r="O30" s="1"/>
      <c r="P30" s="1"/>
      <c r="Q30" s="1"/>
      <c r="R30" s="1"/>
      <c r="S30" s="1"/>
      <c r="T30" s="1"/>
    </row>
    <row r="31" spans="1:20" ht="15.75" customHeight="1" x14ac:dyDescent="0.2">
      <c r="A31" s="208"/>
      <c r="B31" s="208"/>
      <c r="C31" s="206"/>
      <c r="D31" s="26" t="s">
        <v>4</v>
      </c>
      <c r="E31" s="9">
        <v>2354</v>
      </c>
      <c r="F31" s="9">
        <v>1596</v>
      </c>
      <c r="G31" s="11">
        <f t="shared" si="0"/>
        <v>0.67799490229396775</v>
      </c>
      <c r="H31" s="9">
        <v>2009</v>
      </c>
      <c r="I31" s="9">
        <v>1987</v>
      </c>
      <c r="J31" s="7">
        <f t="shared" si="1"/>
        <v>0.98904927824788447</v>
      </c>
    </row>
    <row r="32" spans="1:20" x14ac:dyDescent="0.2">
      <c r="A32" s="16" t="s">
        <v>32</v>
      </c>
    </row>
    <row r="33" spans="1:1" x14ac:dyDescent="0.2">
      <c r="A33" s="16" t="s">
        <v>27</v>
      </c>
    </row>
  </sheetData>
  <mergeCells count="30">
    <mergeCell ref="A1:G1"/>
    <mergeCell ref="A2:A3"/>
    <mergeCell ref="B2:B3"/>
    <mergeCell ref="C2:C3"/>
    <mergeCell ref="E2:G2"/>
    <mergeCell ref="H2:J2"/>
    <mergeCell ref="A4:A5"/>
    <mergeCell ref="B4:B5"/>
    <mergeCell ref="C4:C5"/>
    <mergeCell ref="A6:A17"/>
    <mergeCell ref="B6:B7"/>
    <mergeCell ref="C6:C7"/>
    <mergeCell ref="B10:B15"/>
    <mergeCell ref="C10:C11"/>
    <mergeCell ref="C12:C13"/>
    <mergeCell ref="B8:B9"/>
    <mergeCell ref="C14:C15"/>
    <mergeCell ref="B16:B17"/>
    <mergeCell ref="C16:C17"/>
    <mergeCell ref="A18:A25"/>
    <mergeCell ref="B18:B19"/>
    <mergeCell ref="C18:C19"/>
    <mergeCell ref="B22:B31"/>
    <mergeCell ref="C22:C23"/>
    <mergeCell ref="C24:C25"/>
    <mergeCell ref="A26:A31"/>
    <mergeCell ref="C26:C27"/>
    <mergeCell ref="C28:C29"/>
    <mergeCell ref="C30:C31"/>
    <mergeCell ref="B20:B2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15" sqref="J15"/>
    </sheetView>
  </sheetViews>
  <sheetFormatPr baseColWidth="10"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5"/>
  <sheetViews>
    <sheetView topLeftCell="I14" zoomScale="130" zoomScaleNormal="130" workbookViewId="0">
      <selection activeCell="J15" sqref="J15"/>
    </sheetView>
  </sheetViews>
  <sheetFormatPr baseColWidth="10" defaultColWidth="14.140625" defaultRowHeight="16.5" customHeight="1" x14ac:dyDescent="0.2"/>
  <cols>
    <col min="1" max="1" width="14.140625" style="16"/>
    <col min="2" max="2" width="30" style="1" customWidth="1"/>
    <col min="3" max="3" width="30" style="16" customWidth="1"/>
    <col min="4" max="4" width="14.140625" style="18"/>
    <col min="5" max="5" width="14.140625" style="1"/>
    <col min="6" max="7" width="14.140625" style="17"/>
    <col min="8" max="14" width="14.140625" style="1"/>
    <col min="15" max="15" width="14.140625" style="29"/>
    <col min="16" max="16384" width="14.140625" style="1"/>
  </cols>
  <sheetData>
    <row r="1" spans="1:28" ht="16.5" customHeight="1" x14ac:dyDescent="0.2">
      <c r="A1" s="207" t="s">
        <v>5</v>
      </c>
      <c r="B1" s="207"/>
      <c r="C1" s="207"/>
      <c r="D1" s="207"/>
      <c r="E1" s="207"/>
      <c r="F1" s="207"/>
      <c r="G1" s="207"/>
      <c r="H1" s="207"/>
      <c r="I1" s="207"/>
      <c r="J1" s="207"/>
    </row>
    <row r="2" spans="1:28" s="170" customFormat="1" ht="16.5" customHeight="1" x14ac:dyDescent="0.2">
      <c r="A2" s="211" t="s">
        <v>11</v>
      </c>
      <c r="B2" s="227" t="s">
        <v>9</v>
      </c>
      <c r="C2" s="228"/>
      <c r="D2" s="229"/>
      <c r="E2" s="215">
        <v>2020</v>
      </c>
      <c r="F2" s="215"/>
      <c r="G2" s="215"/>
      <c r="H2" s="215">
        <v>2021</v>
      </c>
      <c r="I2" s="215"/>
      <c r="J2" s="215"/>
      <c r="K2" s="215">
        <v>2022</v>
      </c>
      <c r="L2" s="215"/>
      <c r="M2" s="215"/>
      <c r="N2" s="217">
        <v>2023</v>
      </c>
      <c r="O2" s="218"/>
      <c r="P2" s="219"/>
      <c r="Q2" s="215">
        <v>2024</v>
      </c>
      <c r="R2" s="215"/>
      <c r="S2" s="215"/>
      <c r="T2" s="215" t="s">
        <v>75</v>
      </c>
      <c r="U2" s="215"/>
      <c r="V2" s="215"/>
    </row>
    <row r="3" spans="1:28" s="170" customFormat="1" ht="16.5" customHeight="1" x14ac:dyDescent="0.2">
      <c r="A3" s="211"/>
      <c r="B3" s="230"/>
      <c r="C3" s="231"/>
      <c r="D3" s="232"/>
      <c r="E3" s="157" t="s">
        <v>0</v>
      </c>
      <c r="F3" s="157" t="s">
        <v>1</v>
      </c>
      <c r="G3" s="37" t="s">
        <v>2</v>
      </c>
      <c r="H3" s="157" t="s">
        <v>0</v>
      </c>
      <c r="I3" s="157" t="s">
        <v>1</v>
      </c>
      <c r="J3" s="37" t="s">
        <v>2</v>
      </c>
      <c r="K3" s="157" t="s">
        <v>0</v>
      </c>
      <c r="L3" s="157" t="s">
        <v>1</v>
      </c>
      <c r="M3" s="37" t="s">
        <v>2</v>
      </c>
      <c r="N3" s="157" t="s">
        <v>0</v>
      </c>
      <c r="O3" s="157" t="s">
        <v>1</v>
      </c>
      <c r="P3" s="37" t="s">
        <v>2</v>
      </c>
      <c r="Q3" s="157" t="s">
        <v>0</v>
      </c>
      <c r="R3" s="157" t="s">
        <v>0</v>
      </c>
      <c r="S3" s="37" t="s">
        <v>2</v>
      </c>
      <c r="T3" s="157" t="s">
        <v>0</v>
      </c>
      <c r="U3" s="157" t="s">
        <v>1</v>
      </c>
      <c r="V3" s="37" t="s">
        <v>2</v>
      </c>
    </row>
    <row r="4" spans="1:28" s="8" customFormat="1" ht="16.5" customHeight="1" x14ac:dyDescent="0.2">
      <c r="A4" s="208" t="s">
        <v>12</v>
      </c>
      <c r="B4" s="220" t="s">
        <v>6</v>
      </c>
      <c r="C4" s="220" t="s">
        <v>35</v>
      </c>
      <c r="D4" s="61" t="s">
        <v>3</v>
      </c>
      <c r="E4" s="66">
        <v>0</v>
      </c>
      <c r="F4" s="66">
        <v>0</v>
      </c>
      <c r="G4" s="166">
        <v>0</v>
      </c>
      <c r="H4" s="65">
        <v>30000</v>
      </c>
      <c r="I4" s="66">
        <v>31159.599999999999</v>
      </c>
      <c r="J4" s="107">
        <f>I4/H4</f>
        <v>1.0386533333333332</v>
      </c>
      <c r="K4" s="73">
        <v>48184.9</v>
      </c>
      <c r="L4" s="73">
        <v>47154.64</v>
      </c>
      <c r="M4" s="48">
        <f t="shared" ref="M4:M31" si="0">L4/K4</f>
        <v>0.97861861288494945</v>
      </c>
      <c r="N4" s="167">
        <f>30000+2685.76</f>
        <v>32685.760000000002</v>
      </c>
      <c r="O4" s="168">
        <v>30282.32</v>
      </c>
      <c r="P4" s="107">
        <f>O4/N4</f>
        <v>0.92646828465974163</v>
      </c>
      <c r="Q4" s="73">
        <v>5500</v>
      </c>
      <c r="R4" s="73"/>
      <c r="S4" s="107"/>
      <c r="T4" s="73">
        <f>+I4+L4+N4+Q4</f>
        <v>116500</v>
      </c>
      <c r="U4" s="73">
        <f>+F4+I4+L4+O4+R4</f>
        <v>108596.56</v>
      </c>
      <c r="V4" s="107">
        <f t="shared" ref="V4:V29" si="1">U4/T4</f>
        <v>0.93215931330472102</v>
      </c>
      <c r="W4" s="171">
        <f>+T4-U4</f>
        <v>7903.4400000000023</v>
      </c>
      <c r="Y4" s="8">
        <v>3072.74</v>
      </c>
    </row>
    <row r="5" spans="1:28" s="12" customFormat="1" ht="16.5" customHeight="1" x14ac:dyDescent="0.2">
      <c r="A5" s="208"/>
      <c r="B5" s="221"/>
      <c r="C5" s="221"/>
      <c r="D5" s="61" t="s">
        <v>4</v>
      </c>
      <c r="E5" s="162">
        <v>0</v>
      </c>
      <c r="F5" s="162">
        <v>0</v>
      </c>
      <c r="G5" s="166">
        <v>0</v>
      </c>
      <c r="H5" s="162">
        <v>4008</v>
      </c>
      <c r="I5" s="162">
        <v>3456</v>
      </c>
      <c r="J5" s="107">
        <f>I5/H5</f>
        <v>0.86227544910179643</v>
      </c>
      <c r="K5" s="162">
        <v>6742</v>
      </c>
      <c r="L5" s="163">
        <v>6567</v>
      </c>
      <c r="M5" s="50">
        <f t="shared" si="0"/>
        <v>0.97404331059032923</v>
      </c>
      <c r="N5" s="163">
        <v>5450</v>
      </c>
      <c r="O5" s="163">
        <v>5180</v>
      </c>
      <c r="P5" s="107">
        <f t="shared" ref="P5:P31" si="2">O5/N5</f>
        <v>0.95045871559633033</v>
      </c>
      <c r="Q5" s="162">
        <v>3752</v>
      </c>
      <c r="R5" s="162"/>
      <c r="S5" s="107"/>
      <c r="T5" s="162">
        <f>+H5+K5+N5+Q5</f>
        <v>19952</v>
      </c>
      <c r="U5" s="162">
        <f>+I5+L5+O5</f>
        <v>15203</v>
      </c>
      <c r="V5" s="107">
        <f t="shared" si="1"/>
        <v>0.76197874899759421</v>
      </c>
      <c r="Y5" s="150">
        <f>+Y4-Y7-34</f>
        <v>1312.2999999999997</v>
      </c>
    </row>
    <row r="6" spans="1:28" s="52" customFormat="1" ht="16.5" customHeight="1" x14ac:dyDescent="0.2">
      <c r="A6" s="233" t="s">
        <v>13</v>
      </c>
      <c r="B6" s="220" t="s">
        <v>7</v>
      </c>
      <c r="C6" s="220" t="s">
        <v>82</v>
      </c>
      <c r="D6" s="61" t="s">
        <v>3</v>
      </c>
      <c r="E6" s="66">
        <v>7</v>
      </c>
      <c r="F6" s="73">
        <v>8.73</v>
      </c>
      <c r="G6" s="107">
        <f>F6/E6</f>
        <v>1.2471428571428571</v>
      </c>
      <c r="H6" s="65">
        <v>25.5</v>
      </c>
      <c r="I6" s="66">
        <v>27.53</v>
      </c>
      <c r="J6" s="107">
        <f t="shared" ref="J6:J31" si="3">I6/H6</f>
        <v>1.0796078431372549</v>
      </c>
      <c r="K6" s="65">
        <v>20.3</v>
      </c>
      <c r="L6" s="65">
        <v>21.09</v>
      </c>
      <c r="M6" s="48">
        <f t="shared" si="0"/>
        <v>1.0389162561576355</v>
      </c>
      <c r="N6" s="161">
        <v>28</v>
      </c>
      <c r="O6" s="161">
        <v>21.39</v>
      </c>
      <c r="P6" s="107">
        <f t="shared" si="2"/>
        <v>0.7639285714285714</v>
      </c>
      <c r="Q6" s="65">
        <v>6</v>
      </c>
      <c r="R6" s="65"/>
      <c r="S6" s="107"/>
      <c r="T6" s="65">
        <f>+F6+I6+L6+N6+Q6</f>
        <v>91.350000000000009</v>
      </c>
      <c r="U6" s="65">
        <f>+F6+I6+L6+O6+R6</f>
        <v>78.740000000000009</v>
      </c>
      <c r="V6" s="107">
        <f t="shared" si="1"/>
        <v>0.86195949644225511</v>
      </c>
      <c r="W6" s="171">
        <f>+T6-U6</f>
        <v>12.61</v>
      </c>
    </row>
    <row r="7" spans="1:28" s="52" customFormat="1" ht="16.5" customHeight="1" x14ac:dyDescent="0.25">
      <c r="A7" s="234"/>
      <c r="B7" s="220"/>
      <c r="C7" s="220"/>
      <c r="D7" s="61" t="s">
        <v>4</v>
      </c>
      <c r="E7" s="162">
        <v>323</v>
      </c>
      <c r="F7" s="162">
        <v>303</v>
      </c>
      <c r="G7" s="107">
        <f>F7/E7</f>
        <v>0.9380804953560371</v>
      </c>
      <c r="H7" s="162">
        <v>12571</v>
      </c>
      <c r="I7" s="162">
        <v>12571</v>
      </c>
      <c r="J7" s="107">
        <f t="shared" si="3"/>
        <v>1</v>
      </c>
      <c r="K7" s="162">
        <v>10926</v>
      </c>
      <c r="L7" s="163">
        <v>10926</v>
      </c>
      <c r="M7" s="50">
        <f t="shared" si="0"/>
        <v>1</v>
      </c>
      <c r="N7" s="163">
        <v>9112</v>
      </c>
      <c r="O7" s="163">
        <v>8829</v>
      </c>
      <c r="P7" s="107">
        <f t="shared" si="2"/>
        <v>0.96894205443371373</v>
      </c>
      <c r="Q7" s="162">
        <v>1588</v>
      </c>
      <c r="R7" s="162"/>
      <c r="S7" s="107"/>
      <c r="T7" s="162">
        <f>+E7+H7+K7+N7+Q7</f>
        <v>34520</v>
      </c>
      <c r="U7" s="162">
        <f>+F7+I7+L7+O7</f>
        <v>32629</v>
      </c>
      <c r="V7" s="107">
        <f t="shared" si="1"/>
        <v>0.94522016222479721</v>
      </c>
      <c r="Y7" s="164">
        <f>+T10+T12+T14</f>
        <v>1726.44</v>
      </c>
      <c r="AA7" s="164">
        <v>2308</v>
      </c>
      <c r="AB7" s="143">
        <f>+Y7/AA7</f>
        <v>0.74802426343154249</v>
      </c>
    </row>
    <row r="8" spans="1:28" s="52" customFormat="1" ht="16.5" customHeight="1" x14ac:dyDescent="0.2">
      <c r="A8" s="234"/>
      <c r="B8" s="225" t="s">
        <v>8</v>
      </c>
      <c r="C8" s="140"/>
      <c r="D8" s="61" t="s">
        <v>3</v>
      </c>
      <c r="E8" s="162"/>
      <c r="F8" s="162"/>
      <c r="G8" s="107"/>
      <c r="H8" s="162"/>
      <c r="I8" s="162"/>
      <c r="J8" s="107"/>
      <c r="K8" s="162"/>
      <c r="L8" s="163"/>
      <c r="M8" s="160"/>
      <c r="N8" s="161">
        <f>+N10+N12+N14</f>
        <v>479.86</v>
      </c>
      <c r="O8" s="161">
        <f>+O10+O12+O14</f>
        <v>389.02</v>
      </c>
      <c r="P8" s="107">
        <f t="shared" si="2"/>
        <v>0.81069478597924394</v>
      </c>
      <c r="Q8" s="162"/>
      <c r="R8" s="162"/>
      <c r="S8" s="107"/>
      <c r="T8" s="161">
        <f>+T10+T12+T14</f>
        <v>1726.44</v>
      </c>
      <c r="U8" s="161">
        <f>+U10+U12+U14</f>
        <v>1532.7</v>
      </c>
      <c r="V8" s="107">
        <f t="shared" si="1"/>
        <v>0.88778063529575313</v>
      </c>
      <c r="W8" s="171">
        <f>+T8-U8</f>
        <v>193.74</v>
      </c>
      <c r="Y8" s="164"/>
      <c r="AA8" s="164"/>
      <c r="AB8" s="143"/>
    </row>
    <row r="9" spans="1:28" s="52" customFormat="1" ht="16.5" customHeight="1" x14ac:dyDescent="0.25">
      <c r="A9" s="234"/>
      <c r="B9" s="237"/>
      <c r="C9" s="140"/>
      <c r="D9" s="61" t="s">
        <v>4</v>
      </c>
      <c r="E9" s="162"/>
      <c r="F9" s="162"/>
      <c r="G9" s="107"/>
      <c r="H9" s="162"/>
      <c r="I9" s="162"/>
      <c r="J9" s="107"/>
      <c r="K9" s="162"/>
      <c r="L9" s="163"/>
      <c r="M9" s="160"/>
      <c r="N9" s="163">
        <f>+N11+N13+N15</f>
        <v>188489</v>
      </c>
      <c r="O9" s="163">
        <f>+O11+O13+O15</f>
        <v>171525</v>
      </c>
      <c r="P9" s="107">
        <f t="shared" si="2"/>
        <v>0.91000005305349385</v>
      </c>
      <c r="Q9" s="162"/>
      <c r="R9" s="162"/>
      <c r="S9" s="107"/>
      <c r="T9" s="163">
        <f>+T11+T13+T15</f>
        <v>587299</v>
      </c>
      <c r="U9" s="163">
        <f>+U11+U13+U15</f>
        <v>452121</v>
      </c>
      <c r="V9" s="107">
        <f t="shared" si="1"/>
        <v>0.76983104006647385</v>
      </c>
      <c r="Y9" s="164"/>
      <c r="AA9" s="164"/>
      <c r="AB9" s="143"/>
    </row>
    <row r="10" spans="1:28" s="12" customFormat="1" ht="16.5" customHeight="1" x14ac:dyDescent="0.2">
      <c r="A10" s="234"/>
      <c r="B10" s="237"/>
      <c r="C10" s="220" t="s">
        <v>83</v>
      </c>
      <c r="D10" s="61" t="s">
        <v>3</v>
      </c>
      <c r="E10" s="67">
        <v>219.26</v>
      </c>
      <c r="F10" s="67">
        <v>228.54</v>
      </c>
      <c r="G10" s="107">
        <f t="shared" ref="G10:G31" si="4">F10/E10</f>
        <v>1.0423241813372253</v>
      </c>
      <c r="H10" s="65">
        <v>410.08</v>
      </c>
      <c r="I10" s="65">
        <v>380.8</v>
      </c>
      <c r="J10" s="107">
        <f t="shared" si="3"/>
        <v>0.9285992976980102</v>
      </c>
      <c r="K10" s="65">
        <v>447.75</v>
      </c>
      <c r="L10" s="161">
        <v>451.01</v>
      </c>
      <c r="M10" s="48">
        <f t="shared" si="0"/>
        <v>1.0072808486878839</v>
      </c>
      <c r="N10" s="161">
        <v>444.86</v>
      </c>
      <c r="O10" s="161">
        <v>356.65</v>
      </c>
      <c r="P10" s="107">
        <f t="shared" si="2"/>
        <v>0.80171289843995852</v>
      </c>
      <c r="Q10" s="65">
        <v>92.8</v>
      </c>
      <c r="R10" s="65"/>
      <c r="S10" s="107"/>
      <c r="T10" s="65">
        <f>+F10+I10+L10+N10+Q10</f>
        <v>1598.01</v>
      </c>
      <c r="U10" s="65">
        <f>+F10+I10+L10+O10+R10</f>
        <v>1417</v>
      </c>
      <c r="V10" s="107">
        <f t="shared" si="1"/>
        <v>0.88672786778555834</v>
      </c>
      <c r="X10" s="138">
        <f>+O10+O12+O14</f>
        <v>389.02</v>
      </c>
      <c r="Y10" s="138">
        <f>+U10+U12+U14</f>
        <v>1532.7</v>
      </c>
      <c r="Z10" s="139">
        <f>+Y10/Y7</f>
        <v>0.88778063529575313</v>
      </c>
    </row>
    <row r="11" spans="1:28" s="12" customFormat="1" ht="16.5" customHeight="1" x14ac:dyDescent="0.2">
      <c r="A11" s="234"/>
      <c r="B11" s="237"/>
      <c r="C11" s="220"/>
      <c r="D11" s="61" t="s">
        <v>4</v>
      </c>
      <c r="E11" s="162">
        <v>38336</v>
      </c>
      <c r="F11" s="162">
        <v>32996</v>
      </c>
      <c r="G11" s="107">
        <f t="shared" si="4"/>
        <v>0.86070534223706174</v>
      </c>
      <c r="H11" s="162">
        <v>88609</v>
      </c>
      <c r="I11" s="162">
        <v>82313</v>
      </c>
      <c r="J11" s="107">
        <f t="shared" si="3"/>
        <v>0.92894626956629689</v>
      </c>
      <c r="K11" s="162">
        <v>100505</v>
      </c>
      <c r="L11" s="163">
        <v>95822</v>
      </c>
      <c r="M11" s="50">
        <f t="shared" si="0"/>
        <v>0.95340530321874528</v>
      </c>
      <c r="N11" s="163">
        <v>156600</v>
      </c>
      <c r="O11" s="169">
        <v>149363</v>
      </c>
      <c r="P11" s="107">
        <f t="shared" si="2"/>
        <v>0.953786717752235</v>
      </c>
      <c r="Q11" s="162">
        <f>84584+5850</f>
        <v>90434</v>
      </c>
      <c r="R11" s="162"/>
      <c r="S11" s="107"/>
      <c r="T11" s="162">
        <f>+E11+H11+K11+N11+Q11</f>
        <v>474484</v>
      </c>
      <c r="U11" s="162">
        <f>+F11+I11+L11+O11</f>
        <v>360494</v>
      </c>
      <c r="V11" s="107">
        <f t="shared" si="1"/>
        <v>0.75976007620910291</v>
      </c>
    </row>
    <row r="12" spans="1:28" s="12" customFormat="1" ht="16.5" customHeight="1" x14ac:dyDescent="0.2">
      <c r="A12" s="234"/>
      <c r="B12" s="237"/>
      <c r="C12" s="220" t="s">
        <v>38</v>
      </c>
      <c r="D12" s="61" t="s">
        <v>3</v>
      </c>
      <c r="E12" s="66">
        <v>8.85</v>
      </c>
      <c r="F12" s="73">
        <v>14.11</v>
      </c>
      <c r="G12" s="107">
        <f t="shared" si="4"/>
        <v>1.5943502824858757</v>
      </c>
      <c r="H12" s="65">
        <v>20</v>
      </c>
      <c r="I12" s="66">
        <v>19.54</v>
      </c>
      <c r="J12" s="107">
        <f t="shared" si="3"/>
        <v>0.97699999999999998</v>
      </c>
      <c r="K12" s="65">
        <v>29</v>
      </c>
      <c r="L12" s="161">
        <v>30.12</v>
      </c>
      <c r="M12" s="48">
        <f t="shared" si="0"/>
        <v>1.0386206896551724</v>
      </c>
      <c r="N12" s="161">
        <v>25</v>
      </c>
      <c r="O12" s="161">
        <v>24.73</v>
      </c>
      <c r="P12" s="107">
        <f t="shared" si="2"/>
        <v>0.98919999999999997</v>
      </c>
      <c r="Q12" s="65">
        <v>5.66</v>
      </c>
      <c r="R12" s="91"/>
      <c r="S12" s="107"/>
      <c r="T12" s="65">
        <f>+F12+I12+L12+N12+Q12</f>
        <v>94.429999999999993</v>
      </c>
      <c r="U12" s="65">
        <f>+F12+I12+L12+O12+R12</f>
        <v>88.5</v>
      </c>
      <c r="V12" s="107">
        <f t="shared" si="1"/>
        <v>0.9372021603304036</v>
      </c>
    </row>
    <row r="13" spans="1:28" s="12" customFormat="1" ht="16.5" customHeight="1" x14ac:dyDescent="0.2">
      <c r="A13" s="234"/>
      <c r="B13" s="237"/>
      <c r="C13" s="220"/>
      <c r="D13" s="61" t="s">
        <v>4</v>
      </c>
      <c r="E13" s="162">
        <v>6934</v>
      </c>
      <c r="F13" s="162">
        <v>6522</v>
      </c>
      <c r="G13" s="107">
        <f t="shared" si="4"/>
        <v>0.94058263628497263</v>
      </c>
      <c r="H13" s="162">
        <v>17030</v>
      </c>
      <c r="I13" s="162">
        <v>17030</v>
      </c>
      <c r="J13" s="107">
        <f t="shared" si="3"/>
        <v>1</v>
      </c>
      <c r="K13" s="162">
        <v>29321</v>
      </c>
      <c r="L13" s="163">
        <v>29160</v>
      </c>
      <c r="M13" s="50">
        <f t="shared" si="0"/>
        <v>0.99450905494355579</v>
      </c>
      <c r="N13" s="163">
        <v>22678</v>
      </c>
      <c r="O13" s="163">
        <v>13123</v>
      </c>
      <c r="P13" s="107">
        <f t="shared" si="2"/>
        <v>0.57866654907840198</v>
      </c>
      <c r="Q13" s="162">
        <v>6409</v>
      </c>
      <c r="R13" s="162"/>
      <c r="S13" s="107"/>
      <c r="T13" s="162">
        <f>+E13+H13+K13+N13+Q13</f>
        <v>82372</v>
      </c>
      <c r="U13" s="162">
        <f>+F13+I13+L13+O13</f>
        <v>65835</v>
      </c>
      <c r="V13" s="107">
        <f t="shared" si="1"/>
        <v>0.7992400330209295</v>
      </c>
      <c r="Y13" s="138">
        <f>+Y7-Q10-Q12-Q14</f>
        <v>1623.54</v>
      </c>
    </row>
    <row r="14" spans="1:28" s="12" customFormat="1" ht="16.5" customHeight="1" x14ac:dyDescent="0.2">
      <c r="A14" s="234"/>
      <c r="B14" s="237"/>
      <c r="C14" s="220" t="s">
        <v>15</v>
      </c>
      <c r="D14" s="61" t="s">
        <v>3</v>
      </c>
      <c r="E14" s="66">
        <v>1.44</v>
      </c>
      <c r="F14" s="73">
        <v>2.7</v>
      </c>
      <c r="G14" s="107">
        <f t="shared" si="4"/>
        <v>1.8750000000000002</v>
      </c>
      <c r="H14" s="65">
        <v>7</v>
      </c>
      <c r="I14" s="66">
        <v>7.18</v>
      </c>
      <c r="J14" s="107">
        <f t="shared" si="3"/>
        <v>1.0257142857142856</v>
      </c>
      <c r="K14" s="65">
        <v>9.5</v>
      </c>
      <c r="L14" s="65">
        <v>9.68</v>
      </c>
      <c r="M14" s="48">
        <f t="shared" si="0"/>
        <v>1.0189473684210526</v>
      </c>
      <c r="N14" s="161">
        <v>10</v>
      </c>
      <c r="O14" s="161">
        <v>7.64</v>
      </c>
      <c r="P14" s="107">
        <f t="shared" si="2"/>
        <v>0.76400000000000001</v>
      </c>
      <c r="Q14" s="65">
        <v>4.4400000000000004</v>
      </c>
      <c r="R14" s="65"/>
      <c r="S14" s="107"/>
      <c r="T14" s="65">
        <f>+F14+I14+L14+N14+Q14</f>
        <v>34</v>
      </c>
      <c r="U14" s="65">
        <f>+F14+I14+L14+O14+R14</f>
        <v>27.2</v>
      </c>
      <c r="V14" s="107">
        <f t="shared" si="1"/>
        <v>0.79999999999999993</v>
      </c>
      <c r="Z14" s="151">
        <v>2308</v>
      </c>
    </row>
    <row r="15" spans="1:28" s="12" customFormat="1" ht="16.5" customHeight="1" x14ac:dyDescent="0.2">
      <c r="A15" s="234"/>
      <c r="B15" s="226"/>
      <c r="C15" s="220"/>
      <c r="D15" s="61" t="s">
        <v>4</v>
      </c>
      <c r="E15" s="162">
        <v>335</v>
      </c>
      <c r="F15" s="162">
        <v>295</v>
      </c>
      <c r="G15" s="107">
        <f t="shared" si="4"/>
        <v>0.88059701492537312</v>
      </c>
      <c r="H15" s="162">
        <v>7651</v>
      </c>
      <c r="I15" s="162">
        <v>7651</v>
      </c>
      <c r="J15" s="107">
        <f t="shared" si="3"/>
        <v>1</v>
      </c>
      <c r="K15" s="162">
        <v>8865</v>
      </c>
      <c r="L15" s="163">
        <v>8807</v>
      </c>
      <c r="M15" s="50">
        <f t="shared" si="0"/>
        <v>0.99345741680767063</v>
      </c>
      <c r="N15" s="163">
        <v>9211</v>
      </c>
      <c r="O15" s="163">
        <v>9039</v>
      </c>
      <c r="P15" s="107">
        <f t="shared" si="2"/>
        <v>0.98132667462816203</v>
      </c>
      <c r="Q15" s="162">
        <v>4381</v>
      </c>
      <c r="R15" s="162"/>
      <c r="S15" s="107"/>
      <c r="T15" s="162">
        <f>+E15+H15+K15+N15+Q15</f>
        <v>30443</v>
      </c>
      <c r="U15" s="162">
        <f>+F15+I15+L15+O15</f>
        <v>25792</v>
      </c>
      <c r="V15" s="107">
        <f t="shared" si="1"/>
        <v>0.8472226784482475</v>
      </c>
      <c r="X15" s="12">
        <f>+N10+N12+N14</f>
        <v>479.86</v>
      </c>
      <c r="Z15" s="152">
        <f>+O11+O13+O15</f>
        <v>171525</v>
      </c>
    </row>
    <row r="16" spans="1:28" s="52" customFormat="1" ht="16.5" customHeight="1" x14ac:dyDescent="0.2">
      <c r="A16" s="234"/>
      <c r="B16" s="236" t="s">
        <v>19</v>
      </c>
      <c r="C16" s="220" t="s">
        <v>20</v>
      </c>
      <c r="D16" s="25" t="s">
        <v>3</v>
      </c>
      <c r="E16" s="133">
        <v>0.1</v>
      </c>
      <c r="F16" s="133">
        <v>0.1</v>
      </c>
      <c r="G16" s="134">
        <f t="shared" si="4"/>
        <v>1</v>
      </c>
      <c r="H16" s="47">
        <v>0.25</v>
      </c>
      <c r="I16" s="135">
        <v>0.25</v>
      </c>
      <c r="J16" s="48">
        <f t="shared" si="3"/>
        <v>1</v>
      </c>
      <c r="K16" s="47">
        <v>0.25</v>
      </c>
      <c r="L16" s="47">
        <v>0.25</v>
      </c>
      <c r="M16" s="48">
        <f t="shared" si="0"/>
        <v>1</v>
      </c>
      <c r="N16" s="65">
        <v>0.4</v>
      </c>
      <c r="O16" s="65">
        <v>0.31</v>
      </c>
      <c r="P16" s="107">
        <f t="shared" si="2"/>
        <v>0.77499999999999991</v>
      </c>
      <c r="Q16" s="65">
        <v>0</v>
      </c>
      <c r="R16" s="65"/>
      <c r="S16" s="107"/>
      <c r="T16" s="65">
        <f>+F16+I16+L16+N16+Q16</f>
        <v>1</v>
      </c>
      <c r="U16" s="65">
        <f>+F16+I16+L16+O16+R16</f>
        <v>0.90999999999999992</v>
      </c>
      <c r="V16" s="107">
        <f t="shared" si="1"/>
        <v>0.90999999999999992</v>
      </c>
      <c r="W16" s="171">
        <f>+T16-U16</f>
        <v>9.000000000000008E-2</v>
      </c>
      <c r="X16" s="52">
        <f>+O10+O12+O14</f>
        <v>389.02</v>
      </c>
      <c r="Z16" s="153">
        <f>+N11+N13+N15</f>
        <v>188489</v>
      </c>
    </row>
    <row r="17" spans="1:26" s="52" customFormat="1" ht="16.5" customHeight="1" x14ac:dyDescent="0.25">
      <c r="A17" s="235"/>
      <c r="B17" s="236"/>
      <c r="C17" s="220"/>
      <c r="D17" s="26" t="s">
        <v>4</v>
      </c>
      <c r="E17" s="49">
        <v>19</v>
      </c>
      <c r="F17" s="49">
        <v>19</v>
      </c>
      <c r="G17" s="136">
        <f t="shared" si="4"/>
        <v>1</v>
      </c>
      <c r="H17" s="49">
        <v>130</v>
      </c>
      <c r="I17" s="49">
        <v>129</v>
      </c>
      <c r="J17" s="50">
        <f t="shared" si="3"/>
        <v>0.99230769230769234</v>
      </c>
      <c r="K17" s="49">
        <v>186</v>
      </c>
      <c r="L17" s="165">
        <v>186</v>
      </c>
      <c r="M17" s="50">
        <f t="shared" si="0"/>
        <v>1</v>
      </c>
      <c r="N17" s="162">
        <v>320</v>
      </c>
      <c r="O17" s="162">
        <v>212</v>
      </c>
      <c r="P17" s="107">
        <f t="shared" si="2"/>
        <v>0.66249999999999998</v>
      </c>
      <c r="Q17" s="162">
        <v>0</v>
      </c>
      <c r="R17" s="162"/>
      <c r="S17" s="107"/>
      <c r="T17" s="162">
        <f>+E17+H17+K17+N17+Q17</f>
        <v>655</v>
      </c>
      <c r="U17" s="162">
        <f>+F17+I17+L17+O17</f>
        <v>546</v>
      </c>
      <c r="V17" s="107">
        <f t="shared" si="1"/>
        <v>0.833587786259542</v>
      </c>
      <c r="X17" s="143">
        <f>+X16/X15</f>
        <v>0.81069478597924394</v>
      </c>
      <c r="Z17" s="154">
        <f>+Z15/Z16</f>
        <v>0.91000005305349385</v>
      </c>
    </row>
    <row r="18" spans="1:26" s="12" customFormat="1" ht="16.5" customHeight="1" x14ac:dyDescent="0.2">
      <c r="A18" s="222" t="s">
        <v>16</v>
      </c>
      <c r="B18" s="220" t="s">
        <v>31</v>
      </c>
      <c r="C18" s="220" t="s">
        <v>21</v>
      </c>
      <c r="D18" s="25" t="s">
        <v>3</v>
      </c>
      <c r="E18" s="133">
        <v>85.43</v>
      </c>
      <c r="F18" s="133">
        <v>95.4</v>
      </c>
      <c r="G18" s="134">
        <f t="shared" si="4"/>
        <v>1.11670373405127</v>
      </c>
      <c r="H18" s="47">
        <v>86.43</v>
      </c>
      <c r="I18" s="47">
        <v>86</v>
      </c>
      <c r="J18" s="48">
        <f t="shared" si="3"/>
        <v>0.99502487562189046</v>
      </c>
      <c r="K18" s="47">
        <v>87.43</v>
      </c>
      <c r="L18" s="47">
        <v>84.72</v>
      </c>
      <c r="M18" s="48">
        <f t="shared" si="0"/>
        <v>0.9690037744481298</v>
      </c>
      <c r="N18" s="65">
        <v>89.43</v>
      </c>
      <c r="O18" s="161">
        <v>90.51</v>
      </c>
      <c r="P18" s="107">
        <f t="shared" si="2"/>
        <v>1.0120764844012076</v>
      </c>
      <c r="Q18" s="65"/>
      <c r="R18" s="65"/>
      <c r="S18" s="107"/>
      <c r="T18" s="65">
        <v>89.43</v>
      </c>
      <c r="U18" s="65">
        <f>+O18</f>
        <v>90.51</v>
      </c>
      <c r="V18" s="107">
        <f t="shared" si="1"/>
        <v>1.0120764844012076</v>
      </c>
      <c r="W18" s="171">
        <f>+T18-U18</f>
        <v>-1.0799999999999983</v>
      </c>
    </row>
    <row r="19" spans="1:26" s="12" customFormat="1" ht="16.5" customHeight="1" x14ac:dyDescent="0.2">
      <c r="A19" s="223"/>
      <c r="B19" s="220"/>
      <c r="C19" s="220"/>
      <c r="D19" s="26" t="s">
        <v>4</v>
      </c>
      <c r="E19" s="49">
        <v>4</v>
      </c>
      <c r="F19" s="49">
        <v>4</v>
      </c>
      <c r="G19" s="136">
        <f t="shared" si="4"/>
        <v>1</v>
      </c>
      <c r="H19" s="49">
        <v>142</v>
      </c>
      <c r="I19" s="49">
        <v>114</v>
      </c>
      <c r="J19" s="50">
        <f t="shared" si="3"/>
        <v>0.80281690140845074</v>
      </c>
      <c r="K19" s="49">
        <v>363</v>
      </c>
      <c r="L19" s="49">
        <v>293</v>
      </c>
      <c r="M19" s="50">
        <f t="shared" si="0"/>
        <v>0.80716253443526176</v>
      </c>
      <c r="N19" s="162">
        <v>756</v>
      </c>
      <c r="O19" s="163">
        <v>490</v>
      </c>
      <c r="P19" s="107">
        <f t="shared" si="2"/>
        <v>0.64814814814814814</v>
      </c>
      <c r="Q19" s="162"/>
      <c r="R19" s="162"/>
      <c r="S19" s="107"/>
      <c r="T19" s="162">
        <f>+E19+H19+K19+N19+Q19</f>
        <v>1265</v>
      </c>
      <c r="U19" s="162">
        <f>+F19+I19+L19+O19</f>
        <v>901</v>
      </c>
      <c r="V19" s="107">
        <f t="shared" si="1"/>
        <v>0.71225296442687747</v>
      </c>
    </row>
    <row r="20" spans="1:26" s="52" customFormat="1" ht="16.5" customHeight="1" x14ac:dyDescent="0.25">
      <c r="A20" s="224"/>
      <c r="B20" s="225" t="s">
        <v>84</v>
      </c>
      <c r="C20" s="140"/>
      <c r="D20" s="25" t="s">
        <v>3</v>
      </c>
      <c r="E20" s="158"/>
      <c r="F20" s="158"/>
      <c r="G20" s="159"/>
      <c r="H20" s="158"/>
      <c r="I20" s="158"/>
      <c r="J20" s="50"/>
      <c r="K20" s="158"/>
      <c r="L20" s="158"/>
      <c r="M20" s="160"/>
      <c r="N20" s="65">
        <v>67.599999999999994</v>
      </c>
      <c r="O20" s="161">
        <v>87.2</v>
      </c>
      <c r="P20" s="107">
        <f t="shared" si="2"/>
        <v>1.289940828402367</v>
      </c>
      <c r="Q20" s="162"/>
      <c r="R20" s="162"/>
      <c r="S20" s="107"/>
      <c r="T20" s="65">
        <v>68.599999999999994</v>
      </c>
      <c r="U20" s="65">
        <f>+O20</f>
        <v>87.2</v>
      </c>
      <c r="V20" s="107">
        <f t="shared" si="1"/>
        <v>1.2711370262390671</v>
      </c>
    </row>
    <row r="21" spans="1:26" s="52" customFormat="1" ht="16.5" customHeight="1" x14ac:dyDescent="0.25">
      <c r="A21" s="156" t="s">
        <v>17</v>
      </c>
      <c r="B21" s="226"/>
      <c r="C21" s="140"/>
      <c r="D21" s="26" t="s">
        <v>4</v>
      </c>
      <c r="E21" s="158"/>
      <c r="F21" s="158"/>
      <c r="G21" s="159"/>
      <c r="H21" s="158"/>
      <c r="I21" s="158"/>
      <c r="J21" s="50"/>
      <c r="K21" s="158"/>
      <c r="L21" s="158"/>
      <c r="M21" s="160"/>
      <c r="N21" s="162">
        <f>+N23+N25+N27+N29+N31</f>
        <v>30983</v>
      </c>
      <c r="O21" s="162">
        <f>+O23+O25+O27+O29+O31</f>
        <v>28880</v>
      </c>
      <c r="P21" s="107">
        <f t="shared" si="2"/>
        <v>0.93212406803731074</v>
      </c>
      <c r="Q21" s="162"/>
      <c r="R21" s="162"/>
      <c r="S21" s="107"/>
      <c r="T21" s="162">
        <f>+T23+T25+T27+T29+T31</f>
        <v>126172</v>
      </c>
      <c r="U21" s="162">
        <f>+U23+U25+U27+U29+U31</f>
        <v>85155</v>
      </c>
      <c r="V21" s="107">
        <f t="shared" si="1"/>
        <v>0.67491202485495994</v>
      </c>
    </row>
    <row r="22" spans="1:26" s="12" customFormat="1" ht="16.5" customHeight="1" x14ac:dyDescent="0.2">
      <c r="A22" s="140"/>
      <c r="C22" s="206" t="s">
        <v>22</v>
      </c>
      <c r="D22" s="25" t="s">
        <v>3</v>
      </c>
      <c r="E22" s="15">
        <v>1</v>
      </c>
      <c r="F22" s="15">
        <v>1</v>
      </c>
      <c r="G22" s="13">
        <f t="shared" si="4"/>
        <v>1</v>
      </c>
      <c r="H22" s="21">
        <v>1</v>
      </c>
      <c r="I22" s="21">
        <v>1</v>
      </c>
      <c r="J22" s="11">
        <f t="shared" si="3"/>
        <v>1</v>
      </c>
      <c r="K22" s="41">
        <v>1</v>
      </c>
      <c r="L22" s="41">
        <v>1</v>
      </c>
      <c r="M22" s="43">
        <f t="shared" si="0"/>
        <v>1</v>
      </c>
      <c r="N22" s="21">
        <v>1</v>
      </c>
      <c r="O22" s="141">
        <v>0.83</v>
      </c>
      <c r="P22" s="43">
        <f t="shared" si="2"/>
        <v>0.83</v>
      </c>
      <c r="Q22" s="21">
        <v>1</v>
      </c>
      <c r="R22" s="21"/>
      <c r="S22" s="7"/>
      <c r="T22" s="21">
        <f>+K22</f>
        <v>1</v>
      </c>
      <c r="U22" s="21">
        <f>+L22</f>
        <v>1</v>
      </c>
      <c r="V22" s="43">
        <f t="shared" si="1"/>
        <v>1</v>
      </c>
    </row>
    <row r="23" spans="1:26" s="12" customFormat="1" ht="16.5" customHeight="1" x14ac:dyDescent="0.2">
      <c r="A23" s="140"/>
      <c r="B23" s="140"/>
      <c r="C23" s="206"/>
      <c r="D23" s="26" t="s">
        <v>4</v>
      </c>
      <c r="E23" s="9">
        <v>3476</v>
      </c>
      <c r="F23" s="9">
        <v>2977</v>
      </c>
      <c r="G23" s="14">
        <f t="shared" si="4"/>
        <v>0.8564441887226697</v>
      </c>
      <c r="H23" s="9">
        <v>8599</v>
      </c>
      <c r="I23" s="9">
        <v>8322</v>
      </c>
      <c r="J23" s="11">
        <f t="shared" si="3"/>
        <v>0.96778695197115949</v>
      </c>
      <c r="K23" s="44">
        <v>11919</v>
      </c>
      <c r="L23" s="44">
        <v>11725</v>
      </c>
      <c r="M23" s="45">
        <f t="shared" si="0"/>
        <v>0.98372346673378641</v>
      </c>
      <c r="N23" s="9">
        <v>10527</v>
      </c>
      <c r="O23" s="142">
        <v>9303</v>
      </c>
      <c r="P23" s="45">
        <f t="shared" si="2"/>
        <v>0.88372755770874889</v>
      </c>
      <c r="Q23" s="9">
        <v>13036</v>
      </c>
      <c r="R23" s="9"/>
      <c r="S23" s="11"/>
      <c r="T23" s="162">
        <f>+E23+H23+K23+N23+Q23</f>
        <v>47557</v>
      </c>
      <c r="U23" s="162">
        <f>+F23+I23+L23+O23</f>
        <v>32327</v>
      </c>
      <c r="V23" s="45">
        <f>U23/T23</f>
        <v>0.67975271779128199</v>
      </c>
    </row>
    <row r="24" spans="1:26" s="12" customFormat="1" ht="16.5" customHeight="1" x14ac:dyDescent="0.2">
      <c r="A24" s="140"/>
      <c r="B24" s="140"/>
      <c r="C24" s="206" t="s">
        <v>23</v>
      </c>
      <c r="D24" s="25" t="s">
        <v>3</v>
      </c>
      <c r="E24" s="15">
        <v>0.05</v>
      </c>
      <c r="F24" s="15">
        <v>0.05</v>
      </c>
      <c r="G24" s="13">
        <f t="shared" si="4"/>
        <v>1</v>
      </c>
      <c r="H24" s="21">
        <v>0.47</v>
      </c>
      <c r="I24" s="4">
        <v>0.47</v>
      </c>
      <c r="J24" s="7">
        <f t="shared" si="3"/>
        <v>1</v>
      </c>
      <c r="K24" s="41">
        <v>0.55000000000000004</v>
      </c>
      <c r="L24" s="41">
        <v>0.55000000000000004</v>
      </c>
      <c r="M24" s="43">
        <f t="shared" si="0"/>
        <v>1</v>
      </c>
      <c r="N24" s="21">
        <v>0.55000000000000004</v>
      </c>
      <c r="O24" s="141">
        <v>0.45</v>
      </c>
      <c r="P24" s="43">
        <f t="shared" si="2"/>
        <v>0.81818181818181812</v>
      </c>
      <c r="Q24" s="21">
        <v>0.38</v>
      </c>
      <c r="R24" s="21"/>
      <c r="S24" s="7"/>
      <c r="T24" s="21">
        <f>+F24+I24+L24+N24+Q24</f>
        <v>2</v>
      </c>
      <c r="U24" s="21">
        <f>+F24+I24+L24+O24+R24</f>
        <v>1.52</v>
      </c>
      <c r="V24" s="43">
        <f t="shared" si="1"/>
        <v>0.76</v>
      </c>
    </row>
    <row r="25" spans="1:26" s="12" customFormat="1" ht="16.5" customHeight="1" x14ac:dyDescent="0.2">
      <c r="A25" s="140"/>
      <c r="B25" s="140"/>
      <c r="C25" s="206"/>
      <c r="D25" s="26" t="s">
        <v>4</v>
      </c>
      <c r="E25" s="20">
        <v>657</v>
      </c>
      <c r="F25" s="20">
        <v>243</v>
      </c>
      <c r="G25" s="14">
        <f t="shared" si="4"/>
        <v>0.36986301369863012</v>
      </c>
      <c r="H25" s="9">
        <v>9407</v>
      </c>
      <c r="I25" s="9">
        <v>9106</v>
      </c>
      <c r="J25" s="11">
        <f t="shared" si="3"/>
        <v>0.96800255129159141</v>
      </c>
      <c r="K25" s="44">
        <v>10305</v>
      </c>
      <c r="L25" s="44">
        <v>10276</v>
      </c>
      <c r="M25" s="45">
        <f t="shared" si="0"/>
        <v>0.99718583212032996</v>
      </c>
      <c r="N25" s="9">
        <v>13229</v>
      </c>
      <c r="O25" s="142">
        <v>13206</v>
      </c>
      <c r="P25" s="45">
        <f t="shared" si="2"/>
        <v>0.99826139541915493</v>
      </c>
      <c r="Q25" s="9">
        <v>14903</v>
      </c>
      <c r="R25" s="9"/>
      <c r="S25" s="11"/>
      <c r="T25" s="162">
        <f>+E25+H25+K25+N25+Q25</f>
        <v>48501</v>
      </c>
      <c r="U25" s="162">
        <f>+F25+I25+L25+O25</f>
        <v>32831</v>
      </c>
      <c r="V25" s="45">
        <f t="shared" si="1"/>
        <v>0.67691387806436976</v>
      </c>
    </row>
    <row r="26" spans="1:26" s="12" customFormat="1" ht="16.5" customHeight="1" x14ac:dyDescent="0.2">
      <c r="A26" s="140" t="s">
        <v>17</v>
      </c>
      <c r="B26" s="140"/>
      <c r="C26" s="206" t="s">
        <v>24</v>
      </c>
      <c r="D26" s="25" t="s">
        <v>3</v>
      </c>
      <c r="E26" s="15">
        <v>7</v>
      </c>
      <c r="F26" s="15">
        <v>7</v>
      </c>
      <c r="G26" s="13">
        <f t="shared" si="4"/>
        <v>1</v>
      </c>
      <c r="H26" s="21">
        <v>11.5</v>
      </c>
      <c r="I26" s="21">
        <v>11.5</v>
      </c>
      <c r="J26" s="11">
        <f t="shared" si="3"/>
        <v>1</v>
      </c>
      <c r="K26" s="41">
        <v>12</v>
      </c>
      <c r="L26" s="41">
        <v>12</v>
      </c>
      <c r="M26" s="43">
        <f t="shared" si="0"/>
        <v>1</v>
      </c>
      <c r="N26" s="21">
        <v>12</v>
      </c>
      <c r="O26" s="21">
        <v>8</v>
      </c>
      <c r="P26" s="43">
        <f t="shared" si="2"/>
        <v>0.66666666666666663</v>
      </c>
      <c r="Q26" s="21">
        <v>7.5</v>
      </c>
      <c r="R26" s="21"/>
      <c r="S26" s="7"/>
      <c r="T26" s="21">
        <f>+F26+I26+L26+N26+Q26</f>
        <v>50</v>
      </c>
      <c r="U26" s="21">
        <f>+F26+I26+L26+O26+R26</f>
        <v>38.5</v>
      </c>
      <c r="V26" s="43">
        <f t="shared" si="1"/>
        <v>0.77</v>
      </c>
    </row>
    <row r="27" spans="1:26" s="12" customFormat="1" ht="16.5" customHeight="1" x14ac:dyDescent="0.2">
      <c r="A27" s="140"/>
      <c r="B27" s="140"/>
      <c r="C27" s="206"/>
      <c r="D27" s="26" t="s">
        <v>4</v>
      </c>
      <c r="E27" s="9">
        <v>2099</v>
      </c>
      <c r="F27" s="9">
        <v>2071</v>
      </c>
      <c r="G27" s="14">
        <f t="shared" si="4"/>
        <v>0.98666031443544544</v>
      </c>
      <c r="H27" s="9">
        <v>3046</v>
      </c>
      <c r="I27" s="9">
        <v>2834</v>
      </c>
      <c r="J27" s="11">
        <f t="shared" si="3"/>
        <v>0.93040052527905448</v>
      </c>
      <c r="K27" s="44">
        <v>3766</v>
      </c>
      <c r="L27" s="44">
        <v>3612</v>
      </c>
      <c r="M27" s="45">
        <f t="shared" si="0"/>
        <v>0.95910780669144979</v>
      </c>
      <c r="N27" s="9">
        <v>4247</v>
      </c>
      <c r="O27" s="9">
        <v>3916</v>
      </c>
      <c r="P27" s="45">
        <f t="shared" si="2"/>
        <v>0.92206263244643283</v>
      </c>
      <c r="Q27" s="9">
        <v>5347</v>
      </c>
      <c r="R27" s="9"/>
      <c r="S27" s="11"/>
      <c r="T27" s="162">
        <f>+E27+H27+K27+N27+Q27</f>
        <v>18505</v>
      </c>
      <c r="U27" s="162">
        <f>+F27+I27+L27+O27</f>
        <v>12433</v>
      </c>
      <c r="V27" s="45">
        <f t="shared" si="1"/>
        <v>0.67187246690083757</v>
      </c>
    </row>
    <row r="28" spans="1:26" ht="16.5" customHeight="1" x14ac:dyDescent="0.2">
      <c r="A28" s="140"/>
      <c r="B28" s="140"/>
      <c r="C28" s="206" t="s">
        <v>25</v>
      </c>
      <c r="D28" s="25" t="s">
        <v>3</v>
      </c>
      <c r="E28" s="15">
        <v>0.8</v>
      </c>
      <c r="F28" s="15">
        <v>0.8</v>
      </c>
      <c r="G28" s="13">
        <f t="shared" si="4"/>
        <v>1</v>
      </c>
      <c r="H28" s="21">
        <v>1</v>
      </c>
      <c r="I28" s="21">
        <v>1</v>
      </c>
      <c r="J28" s="11">
        <f t="shared" si="3"/>
        <v>1</v>
      </c>
      <c r="K28" s="41">
        <v>1</v>
      </c>
      <c r="L28" s="41">
        <v>1</v>
      </c>
      <c r="M28" s="43">
        <f t="shared" si="0"/>
        <v>1</v>
      </c>
      <c r="N28" s="21">
        <v>1</v>
      </c>
      <c r="O28" s="21">
        <v>0.52</v>
      </c>
      <c r="P28" s="43">
        <f t="shared" si="2"/>
        <v>0.52</v>
      </c>
      <c r="Q28" s="21">
        <v>0.2</v>
      </c>
      <c r="R28" s="21"/>
      <c r="S28" s="7"/>
      <c r="T28" s="21">
        <f>+F28+I28+L28+N28+Q28</f>
        <v>4</v>
      </c>
      <c r="U28" s="21">
        <f>+F28+I28+L28+O28+R28</f>
        <v>3.32</v>
      </c>
      <c r="V28" s="43">
        <f t="shared" si="1"/>
        <v>0.83</v>
      </c>
    </row>
    <row r="29" spans="1:26" s="17" customFormat="1" ht="16.5" customHeight="1" x14ac:dyDescent="0.2">
      <c r="A29" s="140"/>
      <c r="B29" s="140"/>
      <c r="C29" s="206"/>
      <c r="D29" s="26" t="s">
        <v>4</v>
      </c>
      <c r="E29" s="9">
        <v>34</v>
      </c>
      <c r="F29" s="9">
        <v>34</v>
      </c>
      <c r="G29" s="14">
        <f t="shared" si="4"/>
        <v>1</v>
      </c>
      <c r="H29" s="9">
        <v>415</v>
      </c>
      <c r="I29" s="9">
        <v>415</v>
      </c>
      <c r="J29" s="11">
        <f t="shared" si="3"/>
        <v>1</v>
      </c>
      <c r="K29" s="44">
        <v>619</v>
      </c>
      <c r="L29" s="44">
        <v>619</v>
      </c>
      <c r="M29" s="45">
        <f t="shared" si="0"/>
        <v>1</v>
      </c>
      <c r="N29" s="9">
        <v>480</v>
      </c>
      <c r="O29" s="9">
        <v>457</v>
      </c>
      <c r="P29" s="45">
        <f t="shared" si="2"/>
        <v>0.95208333333333328</v>
      </c>
      <c r="Q29" s="9">
        <v>433</v>
      </c>
      <c r="R29" s="9"/>
      <c r="S29" s="11"/>
      <c r="T29" s="162">
        <f>+E29+H29+K29+N29+Q29</f>
        <v>1981</v>
      </c>
      <c r="U29" s="162">
        <f>+F29+I29+L29+O29</f>
        <v>1525</v>
      </c>
      <c r="V29" s="45">
        <f t="shared" si="1"/>
        <v>0.76981322564361432</v>
      </c>
    </row>
    <row r="30" spans="1:26" s="17" customFormat="1" ht="16.5" customHeight="1" x14ac:dyDescent="0.2">
      <c r="A30" s="140"/>
      <c r="B30" s="140"/>
      <c r="C30" s="206" t="s">
        <v>26</v>
      </c>
      <c r="D30" s="25" t="s">
        <v>3</v>
      </c>
      <c r="E30" s="15">
        <v>4.5</v>
      </c>
      <c r="F30" s="15">
        <v>4.5</v>
      </c>
      <c r="G30" s="13">
        <f t="shared" si="4"/>
        <v>1</v>
      </c>
      <c r="H30" s="21">
        <v>13.5</v>
      </c>
      <c r="I30" s="21">
        <v>13.5</v>
      </c>
      <c r="J30" s="11">
        <f t="shared" si="3"/>
        <v>1</v>
      </c>
      <c r="K30" s="41">
        <v>13</v>
      </c>
      <c r="L30" s="41">
        <v>13</v>
      </c>
      <c r="M30" s="43">
        <f t="shared" si="0"/>
        <v>1</v>
      </c>
      <c r="N30" s="21">
        <v>12</v>
      </c>
      <c r="O30" s="21">
        <v>10</v>
      </c>
      <c r="P30" s="43">
        <f t="shared" si="2"/>
        <v>0.83333333333333337</v>
      </c>
      <c r="Q30" s="21">
        <v>7</v>
      </c>
      <c r="R30" s="21"/>
      <c r="S30" s="7"/>
      <c r="T30" s="21">
        <f>+F30+I30+L30+N30+Q30</f>
        <v>50</v>
      </c>
      <c r="U30" s="21">
        <f>+F30+I30+L30+O30+R30</f>
        <v>41</v>
      </c>
      <c r="V30" s="43">
        <f>U30/T30</f>
        <v>0.82</v>
      </c>
    </row>
    <row r="31" spans="1:26" ht="16.5" customHeight="1" x14ac:dyDescent="0.2">
      <c r="A31" s="140"/>
      <c r="B31" s="140"/>
      <c r="C31" s="206"/>
      <c r="D31" s="26" t="s">
        <v>4</v>
      </c>
      <c r="E31" s="9">
        <v>1106</v>
      </c>
      <c r="F31" s="9">
        <v>474</v>
      </c>
      <c r="G31" s="14">
        <f t="shared" si="4"/>
        <v>0.42857142857142855</v>
      </c>
      <c r="H31" s="9">
        <v>2354</v>
      </c>
      <c r="I31" s="9">
        <v>1596</v>
      </c>
      <c r="J31" s="11">
        <f t="shared" si="3"/>
        <v>0.67799490229396775</v>
      </c>
      <c r="K31" s="44">
        <v>1971</v>
      </c>
      <c r="L31" s="44">
        <v>1971</v>
      </c>
      <c r="M31" s="45">
        <f t="shared" si="0"/>
        <v>1</v>
      </c>
      <c r="N31" s="9">
        <v>2500</v>
      </c>
      <c r="O31" s="9">
        <v>1998</v>
      </c>
      <c r="P31" s="45">
        <f t="shared" si="2"/>
        <v>0.79920000000000002</v>
      </c>
      <c r="Q31" s="9">
        <v>1697</v>
      </c>
      <c r="R31" s="9"/>
      <c r="S31" s="11"/>
      <c r="T31" s="162">
        <f>+E31+H31+K31+N31+Q31</f>
        <v>9628</v>
      </c>
      <c r="U31" s="162">
        <f>+F31+I31+L31+O31</f>
        <v>6039</v>
      </c>
      <c r="V31" s="45">
        <f>U31/T31</f>
        <v>0.62723307021188202</v>
      </c>
    </row>
    <row r="32" spans="1:26" ht="16.5" customHeight="1" x14ac:dyDescent="0.2">
      <c r="A32" s="137" t="s">
        <v>81</v>
      </c>
    </row>
    <row r="35" spans="16:16" ht="16.5" customHeight="1" x14ac:dyDescent="0.2">
      <c r="P35" s="155"/>
    </row>
  </sheetData>
  <mergeCells count="30">
    <mergeCell ref="A18:A20"/>
    <mergeCell ref="B20:B21"/>
    <mergeCell ref="B2:D3"/>
    <mergeCell ref="B18:B19"/>
    <mergeCell ref="C18:C19"/>
    <mergeCell ref="A6:A17"/>
    <mergeCell ref="B6:B7"/>
    <mergeCell ref="C6:C7"/>
    <mergeCell ref="C10:C11"/>
    <mergeCell ref="C12:C13"/>
    <mergeCell ref="C14:C15"/>
    <mergeCell ref="B16:B17"/>
    <mergeCell ref="C16:C17"/>
    <mergeCell ref="B8:B15"/>
    <mergeCell ref="C22:C23"/>
    <mergeCell ref="C24:C25"/>
    <mergeCell ref="C26:C27"/>
    <mergeCell ref="C28:C29"/>
    <mergeCell ref="C30:C31"/>
    <mergeCell ref="N2:P2"/>
    <mergeCell ref="Q2:S2"/>
    <mergeCell ref="T2:V2"/>
    <mergeCell ref="A4:A5"/>
    <mergeCell ref="B4:B5"/>
    <mergeCell ref="C4:C5"/>
    <mergeCell ref="A1:J1"/>
    <mergeCell ref="A2:A3"/>
    <mergeCell ref="E2:G2"/>
    <mergeCell ref="H2:J2"/>
    <mergeCell ref="K2:M2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W9"/>
  <sheetViews>
    <sheetView tabSelected="1" zoomScale="110" zoomScaleNormal="110" workbookViewId="0">
      <selection activeCell="U12" sqref="U12"/>
    </sheetView>
  </sheetViews>
  <sheetFormatPr baseColWidth="10" defaultColWidth="13.5703125" defaultRowHeight="11.25" x14ac:dyDescent="0.2"/>
  <cols>
    <col min="1" max="1" width="38.85546875" style="199" customWidth="1"/>
    <col min="2" max="2" width="10.42578125" style="200" bestFit="1" customWidth="1"/>
    <col min="3" max="3" width="8.5703125" style="174" customWidth="1"/>
    <col min="4" max="5" width="8.5703125" style="196" customWidth="1"/>
    <col min="6" max="7" width="9.5703125" style="174" bestFit="1" customWidth="1"/>
    <col min="8" max="8" width="8.5703125" style="174" customWidth="1"/>
    <col min="9" max="10" width="9.5703125" style="174" bestFit="1" customWidth="1"/>
    <col min="11" max="11" width="8.5703125" style="174" customWidth="1"/>
    <col min="12" max="12" width="8.7109375" style="174" bestFit="1" customWidth="1"/>
    <col min="13" max="13" width="8.7109375" style="197" bestFit="1" customWidth="1"/>
    <col min="14" max="17" width="8.5703125" style="174" customWidth="1"/>
    <col min="18" max="19" width="9.7109375" style="174" bestFit="1" customWidth="1"/>
    <col min="20" max="20" width="8.5703125" style="174" customWidth="1"/>
    <col min="21" max="22" width="9.7109375" style="174" bestFit="1" customWidth="1"/>
    <col min="23" max="23" width="8.5703125" style="174" customWidth="1"/>
    <col min="24" max="16384" width="13.5703125" style="174"/>
  </cols>
  <sheetData>
    <row r="1" spans="1:23" ht="12.75" customHeight="1" x14ac:dyDescent="0.2">
      <c r="A1" s="172"/>
      <c r="B1" s="173"/>
      <c r="C1" s="239" t="s">
        <v>87</v>
      </c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39"/>
      <c r="O1" s="239"/>
      <c r="P1" s="239"/>
      <c r="Q1" s="239"/>
      <c r="R1" s="240" t="s">
        <v>88</v>
      </c>
      <c r="S1" s="241"/>
      <c r="T1" s="241"/>
      <c r="U1" s="241"/>
      <c r="V1" s="241"/>
      <c r="W1" s="242"/>
    </row>
    <row r="2" spans="1:23" s="175" customFormat="1" x14ac:dyDescent="0.2">
      <c r="A2" s="247" t="s">
        <v>85</v>
      </c>
      <c r="B2" s="245"/>
      <c r="C2" s="244">
        <v>2020</v>
      </c>
      <c r="D2" s="244"/>
      <c r="E2" s="244"/>
      <c r="F2" s="244">
        <v>2021</v>
      </c>
      <c r="G2" s="244"/>
      <c r="H2" s="244"/>
      <c r="I2" s="244">
        <v>2022</v>
      </c>
      <c r="J2" s="244"/>
      <c r="K2" s="244"/>
      <c r="L2" s="244">
        <v>2023</v>
      </c>
      <c r="M2" s="244"/>
      <c r="N2" s="244"/>
      <c r="O2" s="244">
        <v>2024</v>
      </c>
      <c r="P2" s="244"/>
      <c r="Q2" s="244"/>
      <c r="R2" s="238">
        <v>2024</v>
      </c>
      <c r="S2" s="238"/>
      <c r="T2" s="238"/>
      <c r="U2" s="238">
        <v>2025</v>
      </c>
      <c r="V2" s="238"/>
      <c r="W2" s="238"/>
    </row>
    <row r="3" spans="1:23" s="175" customFormat="1" x14ac:dyDescent="0.2">
      <c r="A3" s="248"/>
      <c r="B3" s="246"/>
      <c r="C3" s="176" t="s">
        <v>0</v>
      </c>
      <c r="D3" s="176" t="s">
        <v>1</v>
      </c>
      <c r="E3" s="177" t="s">
        <v>2</v>
      </c>
      <c r="F3" s="176" t="s">
        <v>0</v>
      </c>
      <c r="G3" s="176" t="s">
        <v>1</v>
      </c>
      <c r="H3" s="177" t="s">
        <v>2</v>
      </c>
      <c r="I3" s="176" t="s">
        <v>0</v>
      </c>
      <c r="J3" s="176" t="s">
        <v>1</v>
      </c>
      <c r="K3" s="177" t="s">
        <v>2</v>
      </c>
      <c r="L3" s="178" t="s">
        <v>0</v>
      </c>
      <c r="M3" s="178" t="s">
        <v>1</v>
      </c>
      <c r="N3" s="179" t="s">
        <v>2</v>
      </c>
      <c r="O3" s="178" t="s">
        <v>0</v>
      </c>
      <c r="P3" s="178" t="s">
        <v>1</v>
      </c>
      <c r="Q3" s="179" t="s">
        <v>2</v>
      </c>
      <c r="R3" s="203" t="s">
        <v>0</v>
      </c>
      <c r="S3" s="203" t="s">
        <v>1</v>
      </c>
      <c r="T3" s="204" t="s">
        <v>2</v>
      </c>
      <c r="U3" s="203" t="s">
        <v>0</v>
      </c>
      <c r="V3" s="203" t="s">
        <v>1</v>
      </c>
      <c r="W3" s="204" t="s">
        <v>2</v>
      </c>
    </row>
    <row r="4" spans="1:23" s="190" customFormat="1" x14ac:dyDescent="0.25">
      <c r="A4" s="249" t="s">
        <v>86</v>
      </c>
      <c r="B4" s="180" t="s">
        <v>3</v>
      </c>
      <c r="C4" s="181">
        <v>7</v>
      </c>
      <c r="D4" s="182">
        <v>8.73</v>
      </c>
      <c r="E4" s="183">
        <f>D4/C4</f>
        <v>1.2471428571428571</v>
      </c>
      <c r="F4" s="184">
        <v>25.5</v>
      </c>
      <c r="G4" s="181">
        <v>27.53</v>
      </c>
      <c r="H4" s="183">
        <f t="shared" ref="H4:H5" si="0">G4/F4</f>
        <v>1.0796078431372549</v>
      </c>
      <c r="I4" s="185">
        <v>20.3</v>
      </c>
      <c r="J4" s="185">
        <v>21.09</v>
      </c>
      <c r="K4" s="186">
        <f t="shared" ref="K4:K5" si="1">J4/I4</f>
        <v>1.0389162561576355</v>
      </c>
      <c r="L4" s="187">
        <v>28</v>
      </c>
      <c r="M4" s="187">
        <v>28.12</v>
      </c>
      <c r="N4" s="186">
        <f t="shared" ref="N4:N5" si="2">M4/L4</f>
        <v>1.0042857142857142</v>
      </c>
      <c r="O4" s="184">
        <f>6-0.12</f>
        <v>5.88</v>
      </c>
      <c r="P4" s="184">
        <v>6.31</v>
      </c>
      <c r="Q4" s="186">
        <f t="shared" ref="Q4:Q5" si="3">+P4/O4</f>
        <v>1.0731292517006803</v>
      </c>
      <c r="R4" s="188">
        <v>6</v>
      </c>
      <c r="S4" s="188">
        <v>7</v>
      </c>
      <c r="T4" s="189">
        <f t="shared" ref="T4" si="4">+S4/R4</f>
        <v>1.1666666666666667</v>
      </c>
      <c r="U4" s="188">
        <v>14</v>
      </c>
      <c r="V4" s="188">
        <v>4.16</v>
      </c>
      <c r="W4" s="189">
        <f t="shared" ref="W4" si="5">+V4/U4</f>
        <v>0.29714285714285715</v>
      </c>
    </row>
    <row r="5" spans="1:23" s="190" customFormat="1" x14ac:dyDescent="0.25">
      <c r="A5" s="249"/>
      <c r="B5" s="180" t="s">
        <v>4</v>
      </c>
      <c r="C5" s="191">
        <v>323</v>
      </c>
      <c r="D5" s="191">
        <v>303</v>
      </c>
      <c r="E5" s="183">
        <f>D5/C5</f>
        <v>0.9380804953560371</v>
      </c>
      <c r="F5" s="191">
        <v>12571</v>
      </c>
      <c r="G5" s="191">
        <v>12571</v>
      </c>
      <c r="H5" s="183">
        <f t="shared" si="0"/>
        <v>1</v>
      </c>
      <c r="I5" s="192">
        <v>10926</v>
      </c>
      <c r="J5" s="193">
        <v>10926</v>
      </c>
      <c r="K5" s="186">
        <f t="shared" si="1"/>
        <v>1</v>
      </c>
      <c r="L5" s="194">
        <v>9112</v>
      </c>
      <c r="M5" s="194">
        <v>9112</v>
      </c>
      <c r="N5" s="186">
        <f t="shared" si="2"/>
        <v>1</v>
      </c>
      <c r="O5" s="191">
        <v>792</v>
      </c>
      <c r="P5" s="191">
        <v>791</v>
      </c>
      <c r="Q5" s="186">
        <f t="shared" si="3"/>
        <v>0.9987373737373737</v>
      </c>
      <c r="R5" s="195">
        <v>1127.68</v>
      </c>
      <c r="S5" s="195">
        <v>1124.5</v>
      </c>
      <c r="T5" s="189">
        <f t="shared" ref="T5" si="6">+S5/R5</f>
        <v>0.99718005107832008</v>
      </c>
      <c r="U5" s="195">
        <v>5309.62</v>
      </c>
      <c r="V5" s="195">
        <v>3449.696465</v>
      </c>
      <c r="W5" s="189">
        <f t="shared" ref="W5" si="7">+V5/U5</f>
        <v>0.64970684625265085</v>
      </c>
    </row>
    <row r="6" spans="1:23" x14ac:dyDescent="0.2">
      <c r="A6" s="243" t="s">
        <v>89</v>
      </c>
      <c r="B6" s="243"/>
      <c r="P6" s="198"/>
    </row>
    <row r="7" spans="1:23" x14ac:dyDescent="0.2">
      <c r="O7" s="201"/>
    </row>
    <row r="9" spans="1:23" x14ac:dyDescent="0.2">
      <c r="N9" s="202"/>
    </row>
  </sheetData>
  <mergeCells count="13">
    <mergeCell ref="R2:T2"/>
    <mergeCell ref="C1:Q1"/>
    <mergeCell ref="U2:W2"/>
    <mergeCell ref="R1:W1"/>
    <mergeCell ref="A6:B6"/>
    <mergeCell ref="I2:K2"/>
    <mergeCell ref="L2:N2"/>
    <mergeCell ref="O2:Q2"/>
    <mergeCell ref="B2:B3"/>
    <mergeCell ref="C2:E2"/>
    <mergeCell ref="F2:H2"/>
    <mergeCell ref="A2:A3"/>
    <mergeCell ref="A4:A5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G7"/>
  <sheetViews>
    <sheetView showGridLines="0" workbookViewId="0">
      <selection activeCell="H20" sqref="H20"/>
    </sheetView>
  </sheetViews>
  <sheetFormatPr baseColWidth="10" defaultRowHeight="15" x14ac:dyDescent="0.25"/>
  <cols>
    <col min="4" max="4" width="15.7109375" bestFit="1" customWidth="1"/>
    <col min="5" max="6" width="16" customWidth="1"/>
  </cols>
  <sheetData>
    <row r="2" spans="4:7" ht="30" x14ac:dyDescent="0.25">
      <c r="D2" s="146" t="s">
        <v>76</v>
      </c>
      <c r="E2" s="148" t="s">
        <v>77</v>
      </c>
      <c r="F2" s="148" t="s">
        <v>78</v>
      </c>
      <c r="G2" s="148" t="s">
        <v>2</v>
      </c>
    </row>
    <row r="3" spans="4:7" x14ac:dyDescent="0.25">
      <c r="D3" s="147" t="s">
        <v>67</v>
      </c>
      <c r="E3" s="144">
        <v>1506.21</v>
      </c>
      <c r="F3" s="144">
        <v>1256.9699999999998</v>
      </c>
      <c r="G3" s="149">
        <f>+F3/E3</f>
        <v>0.8345250662258249</v>
      </c>
    </row>
    <row r="4" spans="4:7" x14ac:dyDescent="0.25">
      <c r="D4" s="147" t="s">
        <v>68</v>
      </c>
      <c r="E4" s="144">
        <v>94.429999999999993</v>
      </c>
      <c r="F4" s="144">
        <v>84.37</v>
      </c>
      <c r="G4" s="149">
        <f>+F4/E4</f>
        <v>0.89346605951498481</v>
      </c>
    </row>
    <row r="5" spans="4:7" x14ac:dyDescent="0.25">
      <c r="D5" s="144" t="s">
        <v>34</v>
      </c>
      <c r="E5" s="145">
        <f>SUM(E3:E4)</f>
        <v>1600.64</v>
      </c>
      <c r="F5" s="145">
        <f>SUM(F3:F4)</f>
        <v>1341.3399999999997</v>
      </c>
      <c r="G5" s="149">
        <f>+F5/E5</f>
        <v>0.83800229908036761</v>
      </c>
    </row>
    <row r="6" spans="4:7" x14ac:dyDescent="0.25">
      <c r="D6" t="s">
        <v>79</v>
      </c>
    </row>
    <row r="7" spans="4:7" x14ac:dyDescent="0.25">
      <c r="D7" t="s">
        <v>80</v>
      </c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"/>
  <sheetViews>
    <sheetView zoomScale="130" zoomScaleNormal="130" workbookViewId="0">
      <selection activeCell="A9" sqref="A9"/>
    </sheetView>
  </sheetViews>
  <sheetFormatPr baseColWidth="10" defaultColWidth="11.42578125" defaultRowHeight="12.75" x14ac:dyDescent="0.2"/>
  <cols>
    <col min="1" max="1" width="16.7109375" style="16" customWidth="1"/>
    <col min="2" max="2" width="40.5703125" style="1" customWidth="1"/>
    <col min="3" max="3" width="42.85546875" style="16" customWidth="1"/>
    <col min="4" max="4" width="16.7109375" style="18" customWidth="1"/>
    <col min="5" max="5" width="11" style="1" customWidth="1"/>
    <col min="6" max="7" width="11" style="17" customWidth="1"/>
    <col min="8" max="13" width="11" style="1" customWidth="1"/>
    <col min="14" max="14" width="13.42578125" style="1" customWidth="1"/>
    <col min="15" max="15" width="13.42578125" style="29" customWidth="1"/>
    <col min="16" max="16" width="13.42578125" style="1" customWidth="1"/>
    <col min="17" max="17" width="14.28515625" style="1" customWidth="1"/>
    <col min="18" max="19" width="14.28515625" style="1" hidden="1" customWidth="1"/>
    <col min="20" max="23" width="14.28515625" style="1" customWidth="1"/>
    <col min="24" max="16384" width="11.42578125" style="1"/>
  </cols>
  <sheetData>
    <row r="1" spans="1:23" ht="27.75" customHeight="1" x14ac:dyDescent="0.2">
      <c r="A1" s="207" t="s">
        <v>5</v>
      </c>
      <c r="B1" s="207"/>
      <c r="C1" s="207"/>
      <c r="D1" s="207"/>
      <c r="E1" s="207"/>
      <c r="F1" s="207"/>
      <c r="G1" s="207"/>
      <c r="H1" s="207"/>
      <c r="I1" s="207"/>
      <c r="J1" s="207"/>
    </row>
    <row r="2" spans="1:23" s="2" customFormat="1" x14ac:dyDescent="0.2">
      <c r="A2" s="211" t="s">
        <v>11</v>
      </c>
      <c r="B2" s="211" t="s">
        <v>9</v>
      </c>
      <c r="C2" s="211" t="s">
        <v>10</v>
      </c>
      <c r="D2" s="23"/>
      <c r="E2" s="250">
        <v>2020</v>
      </c>
      <c r="F2" s="250"/>
      <c r="G2" s="250"/>
      <c r="H2" s="250">
        <v>2021</v>
      </c>
      <c r="I2" s="250"/>
      <c r="J2" s="250"/>
      <c r="K2" s="250">
        <v>2022</v>
      </c>
      <c r="L2" s="250"/>
      <c r="M2" s="250"/>
      <c r="N2" s="251">
        <v>2023</v>
      </c>
      <c r="O2" s="252"/>
      <c r="P2" s="253"/>
      <c r="Q2" s="205">
        <v>2024</v>
      </c>
      <c r="R2" s="205"/>
      <c r="S2" s="205"/>
      <c r="T2" s="205" t="s">
        <v>74</v>
      </c>
      <c r="U2" s="205"/>
      <c r="V2" s="205"/>
    </row>
    <row r="3" spans="1:23" s="2" customFormat="1" x14ac:dyDescent="0.2">
      <c r="A3" s="211"/>
      <c r="B3" s="211"/>
      <c r="C3" s="211"/>
      <c r="D3" s="24"/>
      <c r="E3" s="113" t="s">
        <v>0</v>
      </c>
      <c r="F3" s="113" t="s">
        <v>1</v>
      </c>
      <c r="G3" s="114" t="s">
        <v>2</v>
      </c>
      <c r="H3" s="113" t="s">
        <v>0</v>
      </c>
      <c r="I3" s="113" t="s">
        <v>1</v>
      </c>
      <c r="J3" s="114" t="s">
        <v>2</v>
      </c>
      <c r="K3" s="113" t="s">
        <v>0</v>
      </c>
      <c r="L3" s="113" t="s">
        <v>1</v>
      </c>
      <c r="M3" s="114" t="s">
        <v>2</v>
      </c>
      <c r="N3" s="103" t="s">
        <v>0</v>
      </c>
      <c r="O3" s="103" t="s">
        <v>1</v>
      </c>
      <c r="P3" s="37" t="s">
        <v>2</v>
      </c>
      <c r="Q3" s="103" t="s">
        <v>0</v>
      </c>
      <c r="R3" s="103" t="s">
        <v>1</v>
      </c>
      <c r="S3" s="37" t="s">
        <v>2</v>
      </c>
      <c r="T3" s="103" t="s">
        <v>0</v>
      </c>
      <c r="U3" s="103" t="s">
        <v>1</v>
      </c>
      <c r="V3" s="37" t="s">
        <v>2</v>
      </c>
    </row>
    <row r="4" spans="1:23" s="12" customFormat="1" ht="25.5" x14ac:dyDescent="0.2">
      <c r="A4" s="208" t="s">
        <v>13</v>
      </c>
      <c r="B4" s="102" t="s">
        <v>7</v>
      </c>
      <c r="C4" s="102" t="s">
        <v>36</v>
      </c>
      <c r="D4" s="25" t="s">
        <v>3</v>
      </c>
      <c r="E4" s="115">
        <v>7</v>
      </c>
      <c r="F4" s="116">
        <v>8.73</v>
      </c>
      <c r="G4" s="117">
        <f>F4/E4</f>
        <v>1.2471428571428571</v>
      </c>
      <c r="H4" s="118">
        <v>25.5</v>
      </c>
      <c r="I4" s="115">
        <v>27.53</v>
      </c>
      <c r="J4" s="119">
        <f t="shared" ref="J4:J7" si="0">I4/H4</f>
        <v>1.0796078431372549</v>
      </c>
      <c r="K4" s="120">
        <v>20.3</v>
      </c>
      <c r="L4" s="120">
        <v>21.09</v>
      </c>
      <c r="M4" s="121">
        <f t="shared" ref="M4:M7" si="1">L4/K4</f>
        <v>1.0389162561576355</v>
      </c>
      <c r="N4" s="47">
        <v>28</v>
      </c>
      <c r="O4" s="47">
        <v>0.37</v>
      </c>
      <c r="P4" s="48">
        <f>+O4/N4</f>
        <v>1.3214285714285715E-2</v>
      </c>
      <c r="Q4" s="47">
        <v>1</v>
      </c>
      <c r="R4" s="47"/>
      <c r="S4" s="48"/>
      <c r="T4" s="65">
        <f>+F4+I4+K4+N4+Q4</f>
        <v>85.56</v>
      </c>
      <c r="U4" s="65">
        <f>+F4+I4+L4+O4</f>
        <v>57.720000000000006</v>
      </c>
      <c r="V4" s="107">
        <f t="shared" ref="V4:V7" si="2">U4/T4</f>
        <v>0.67461430575035064</v>
      </c>
      <c r="W4" s="52"/>
    </row>
    <row r="5" spans="1:23" s="12" customFormat="1" ht="25.5" x14ac:dyDescent="0.2">
      <c r="A5" s="208"/>
      <c r="B5" s="208" t="s">
        <v>8</v>
      </c>
      <c r="C5" s="108" t="s">
        <v>37</v>
      </c>
      <c r="D5" s="25" t="s">
        <v>3</v>
      </c>
      <c r="E5" s="122">
        <v>219.26</v>
      </c>
      <c r="F5" s="122">
        <v>228.54</v>
      </c>
      <c r="G5" s="117">
        <f t="shared" ref="G5:G7" si="3">F5/E5</f>
        <v>1.0423241813372253</v>
      </c>
      <c r="H5" s="118">
        <v>410.08</v>
      </c>
      <c r="I5" s="118">
        <v>380.8</v>
      </c>
      <c r="J5" s="119">
        <f t="shared" si="0"/>
        <v>0.9285992976980102</v>
      </c>
      <c r="K5" s="120">
        <v>447.75</v>
      </c>
      <c r="L5" s="123">
        <v>451.01</v>
      </c>
      <c r="M5" s="121">
        <f t="shared" si="1"/>
        <v>1.0072808486878839</v>
      </c>
      <c r="N5" s="47">
        <v>444.86</v>
      </c>
      <c r="O5" s="47">
        <v>15.83</v>
      </c>
      <c r="P5" s="48">
        <f t="shared" ref="P5:P7" si="4">+O5/N5</f>
        <v>3.5584228746122375E-2</v>
      </c>
      <c r="Q5" s="47">
        <v>1</v>
      </c>
      <c r="R5" s="47"/>
      <c r="S5" s="48"/>
      <c r="T5" s="65">
        <f>+F5+I5+K5+N5+Q5</f>
        <v>1502.9500000000003</v>
      </c>
      <c r="U5" s="65">
        <f>+F5+I5+L5+O5</f>
        <v>1076.1799999999998</v>
      </c>
      <c r="V5" s="110">
        <f>U5/T5</f>
        <v>0.71604511128114678</v>
      </c>
      <c r="W5" s="52"/>
    </row>
    <row r="6" spans="1:23" s="12" customFormat="1" ht="38.25" x14ac:dyDescent="0.2">
      <c r="A6" s="208"/>
      <c r="B6" s="208"/>
      <c r="C6" s="109" t="s">
        <v>38</v>
      </c>
      <c r="D6" s="25" t="s">
        <v>3</v>
      </c>
      <c r="E6" s="115">
        <v>8.85</v>
      </c>
      <c r="F6" s="116">
        <v>14.11</v>
      </c>
      <c r="G6" s="117">
        <f t="shared" si="3"/>
        <v>1.5943502824858757</v>
      </c>
      <c r="H6" s="118">
        <v>20</v>
      </c>
      <c r="I6" s="115">
        <v>19.54</v>
      </c>
      <c r="J6" s="119">
        <f t="shared" si="0"/>
        <v>0.97699999999999998</v>
      </c>
      <c r="K6" s="120">
        <v>29</v>
      </c>
      <c r="L6" s="123">
        <v>30.12</v>
      </c>
      <c r="M6" s="121">
        <f t="shared" si="1"/>
        <v>1.0386206896551724</v>
      </c>
      <c r="N6" s="47">
        <v>20</v>
      </c>
      <c r="O6" s="47">
        <v>3.31</v>
      </c>
      <c r="P6" s="48">
        <f t="shared" si="4"/>
        <v>0.16550000000000001</v>
      </c>
      <c r="Q6" s="47">
        <v>11.78</v>
      </c>
      <c r="R6" s="47"/>
      <c r="S6" s="48"/>
      <c r="T6" s="65">
        <f>+F6+I6+K6+N6+Q6</f>
        <v>94.43</v>
      </c>
      <c r="U6" s="65">
        <f>+F6+I6+L6+O6</f>
        <v>67.08</v>
      </c>
      <c r="V6" s="107">
        <f t="shared" si="2"/>
        <v>0.71036746796568884</v>
      </c>
      <c r="W6" s="52"/>
    </row>
    <row r="7" spans="1:23" s="12" customFormat="1" ht="25.5" x14ac:dyDescent="0.2">
      <c r="A7" s="208"/>
      <c r="B7" s="208"/>
      <c r="C7" s="108" t="s">
        <v>15</v>
      </c>
      <c r="D7" s="106" t="s">
        <v>3</v>
      </c>
      <c r="E7" s="124">
        <v>1.44</v>
      </c>
      <c r="F7" s="125">
        <v>2.7</v>
      </c>
      <c r="G7" s="126">
        <f t="shared" si="3"/>
        <v>1.8750000000000002</v>
      </c>
      <c r="H7" s="127">
        <v>7</v>
      </c>
      <c r="I7" s="124">
        <v>7.18</v>
      </c>
      <c r="J7" s="128">
        <f t="shared" si="0"/>
        <v>1.0257142857142856</v>
      </c>
      <c r="K7" s="129">
        <v>9.5</v>
      </c>
      <c r="L7" s="129">
        <v>9.68</v>
      </c>
      <c r="M7" s="130">
        <f t="shared" si="1"/>
        <v>1.0189473684210526</v>
      </c>
      <c r="N7" s="111">
        <v>10</v>
      </c>
      <c r="O7" s="111">
        <v>0</v>
      </c>
      <c r="P7" s="112">
        <f t="shared" si="4"/>
        <v>0</v>
      </c>
      <c r="Q7" s="111">
        <v>4.62</v>
      </c>
      <c r="R7" s="111"/>
      <c r="S7" s="112"/>
      <c r="T7" s="65">
        <f>+F7+I7+K7+N7+Q7</f>
        <v>34</v>
      </c>
      <c r="U7" s="65">
        <f>+F7+I7+L7+O7</f>
        <v>19.559999999999999</v>
      </c>
      <c r="V7" s="107">
        <f t="shared" si="2"/>
        <v>0.57529411764705873</v>
      </c>
      <c r="W7" s="52"/>
    </row>
    <row r="8" spans="1:23" s="12" customFormat="1" ht="19.5" customHeight="1" x14ac:dyDescent="0.2">
      <c r="A8" s="208"/>
      <c r="B8" s="208"/>
      <c r="C8" s="84"/>
      <c r="D8" s="61" t="s">
        <v>72</v>
      </c>
      <c r="E8" s="131">
        <f>SUM(E5:E7)</f>
        <v>229.54999999999998</v>
      </c>
      <c r="F8" s="131">
        <f>SUM(F5:F7)</f>
        <v>245.34999999999997</v>
      </c>
      <c r="G8" s="132">
        <f>+F8/E8</f>
        <v>1.0688303201916793</v>
      </c>
      <c r="H8" s="131">
        <f t="shared" ref="H8:S8" si="5">SUM(H5:H7)</f>
        <v>437.08</v>
      </c>
      <c r="I8" s="131">
        <f t="shared" si="5"/>
        <v>407.52000000000004</v>
      </c>
      <c r="J8" s="132">
        <f>+I8/H8</f>
        <v>0.93236936030017403</v>
      </c>
      <c r="K8" s="131">
        <f t="shared" si="5"/>
        <v>486.25</v>
      </c>
      <c r="L8" s="131">
        <f t="shared" si="5"/>
        <v>490.81</v>
      </c>
      <c r="M8" s="132">
        <f>+L8/K8</f>
        <v>1.0093778920308483</v>
      </c>
      <c r="N8" s="67">
        <f t="shared" si="5"/>
        <v>474.86</v>
      </c>
      <c r="O8" s="67">
        <f t="shared" si="5"/>
        <v>19.14</v>
      </c>
      <c r="P8" s="107">
        <f>+O8/N8</f>
        <v>4.0306616687023546E-2</v>
      </c>
      <c r="Q8" s="67">
        <f t="shared" si="5"/>
        <v>17.399999999999999</v>
      </c>
      <c r="R8" s="67">
        <f t="shared" si="5"/>
        <v>0</v>
      </c>
      <c r="S8" s="67">
        <f t="shared" si="5"/>
        <v>0</v>
      </c>
      <c r="T8" s="65">
        <f>+F8+I8+K8+N8+Q8</f>
        <v>1631.38</v>
      </c>
      <c r="U8" s="65">
        <f>+F8+I8+L8+O8</f>
        <v>1162.8200000000002</v>
      </c>
      <c r="V8" s="107">
        <f t="shared" ref="V8" si="6">U8/T8</f>
        <v>0.71278304257744984</v>
      </c>
      <c r="W8" s="52"/>
    </row>
    <row r="9" spans="1:23" x14ac:dyDescent="0.2">
      <c r="A9" s="16" t="s">
        <v>73</v>
      </c>
    </row>
  </sheetData>
  <mergeCells count="12">
    <mergeCell ref="A4:A8"/>
    <mergeCell ref="N2:P2"/>
    <mergeCell ref="B5:B8"/>
    <mergeCell ref="K2:M2"/>
    <mergeCell ref="Q2:S2"/>
    <mergeCell ref="T2:V2"/>
    <mergeCell ref="A1:J1"/>
    <mergeCell ref="A2:A3"/>
    <mergeCell ref="B2:B3"/>
    <mergeCell ref="C2:C3"/>
    <mergeCell ref="E2:G2"/>
    <mergeCell ref="H2:J2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workbookViewId="0">
      <selection activeCell="D3" sqref="D3"/>
    </sheetView>
  </sheetViews>
  <sheetFormatPr baseColWidth="10" defaultRowHeight="15" x14ac:dyDescent="0.25"/>
  <cols>
    <col min="1" max="1" width="33.42578125" customWidth="1"/>
  </cols>
  <sheetData>
    <row r="1" spans="1:4" x14ac:dyDescent="0.25">
      <c r="A1" t="s">
        <v>10</v>
      </c>
    </row>
    <row r="2" spans="1:4" x14ac:dyDescent="0.25">
      <c r="B2" t="s">
        <v>66</v>
      </c>
      <c r="C2" t="s">
        <v>63</v>
      </c>
    </row>
    <row r="3" spans="1:4" x14ac:dyDescent="0.25">
      <c r="A3" t="s">
        <v>71</v>
      </c>
      <c r="B3">
        <v>30000</v>
      </c>
      <c r="C3">
        <v>6011.41</v>
      </c>
      <c r="D3" s="105">
        <f>+C3/B3</f>
        <v>0.20038033333333333</v>
      </c>
    </row>
    <row r="8" spans="1:4" x14ac:dyDescent="0.25">
      <c r="B8" t="s">
        <v>66</v>
      </c>
      <c r="C8" t="s">
        <v>63</v>
      </c>
    </row>
    <row r="9" spans="1:4" x14ac:dyDescent="0.25">
      <c r="A9" t="s">
        <v>67</v>
      </c>
      <c r="B9">
        <v>444.86</v>
      </c>
      <c r="C9">
        <v>15.83</v>
      </c>
      <c r="D9" s="104">
        <f>+C9/B9</f>
        <v>3.5584228746122375E-2</v>
      </c>
    </row>
    <row r="10" spans="1:4" x14ac:dyDescent="0.25">
      <c r="A10" t="s">
        <v>68</v>
      </c>
      <c r="B10">
        <v>20</v>
      </c>
      <c r="C10">
        <v>3.31</v>
      </c>
      <c r="D10" s="104">
        <f t="shared" ref="D10:D11" si="0">+C10/B10</f>
        <v>0.16550000000000001</v>
      </c>
    </row>
    <row r="11" spans="1:4" x14ac:dyDescent="0.25">
      <c r="A11" t="s">
        <v>69</v>
      </c>
      <c r="B11">
        <v>10</v>
      </c>
      <c r="C11">
        <v>0</v>
      </c>
      <c r="D11" s="104">
        <f t="shared" si="0"/>
        <v>0</v>
      </c>
    </row>
    <row r="14" spans="1:4" x14ac:dyDescent="0.25">
      <c r="B14" t="s">
        <v>66</v>
      </c>
      <c r="C14" t="s">
        <v>63</v>
      </c>
    </row>
    <row r="15" spans="1:4" x14ac:dyDescent="0.25">
      <c r="A15" t="s">
        <v>70</v>
      </c>
      <c r="B15">
        <v>28</v>
      </c>
      <c r="C15">
        <v>0.37</v>
      </c>
      <c r="D15" s="104">
        <f t="shared" ref="D15" si="1">+C15/B15</f>
        <v>1.3214285714285715E-2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topLeftCell="A36" workbookViewId="0">
      <selection activeCell="H20" sqref="H20"/>
    </sheetView>
  </sheetViews>
  <sheetFormatPr baseColWidth="10" defaultColWidth="11.42578125" defaultRowHeight="15" x14ac:dyDescent="0.25"/>
  <cols>
    <col min="1" max="1" width="73.28515625" style="77" customWidth="1"/>
    <col min="2" max="2" width="11.42578125" style="77"/>
    <col min="3" max="4" width="22.42578125" style="56" hidden="1" customWidth="1"/>
    <col min="5" max="6" width="22.42578125" style="56" customWidth="1"/>
    <col min="7" max="7" width="33" style="77" customWidth="1"/>
    <col min="8" max="8" width="11.42578125" style="77"/>
    <col min="9" max="9" width="22.28515625" style="77" hidden="1" customWidth="1"/>
    <col min="10" max="11" width="0" style="77" hidden="1" customWidth="1"/>
    <col min="12" max="16384" width="11.42578125" style="77"/>
  </cols>
  <sheetData>
    <row r="1" spans="1:10" x14ac:dyDescent="0.25">
      <c r="A1" s="255" t="s">
        <v>59</v>
      </c>
      <c r="B1" s="255"/>
      <c r="C1" s="255"/>
      <c r="D1" s="255"/>
      <c r="E1" s="255"/>
      <c r="F1" s="255"/>
      <c r="G1" s="255"/>
    </row>
    <row r="2" spans="1:10" x14ac:dyDescent="0.25">
      <c r="B2" s="78"/>
      <c r="C2" s="70" t="s">
        <v>53</v>
      </c>
      <c r="D2" s="71" t="s">
        <v>54</v>
      </c>
      <c r="E2" s="71"/>
      <c r="F2" s="71"/>
    </row>
    <row r="3" spans="1:10" ht="38.25" x14ac:dyDescent="0.25">
      <c r="A3" s="53" t="s">
        <v>10</v>
      </c>
      <c r="B3" s="58" t="s">
        <v>41</v>
      </c>
      <c r="C3" s="61" t="s">
        <v>60</v>
      </c>
      <c r="D3" s="59" t="s">
        <v>43</v>
      </c>
      <c r="E3" s="54" t="s">
        <v>44</v>
      </c>
      <c r="F3" s="90"/>
      <c r="G3" s="79" t="s">
        <v>55</v>
      </c>
      <c r="H3" s="80"/>
      <c r="I3" s="80"/>
    </row>
    <row r="4" spans="1:10" x14ac:dyDescent="0.25">
      <c r="A4" s="208" t="s">
        <v>36</v>
      </c>
      <c r="B4" s="61">
        <v>2020</v>
      </c>
      <c r="C4" s="62">
        <v>8.73</v>
      </c>
      <c r="D4" s="62">
        <v>8.73</v>
      </c>
      <c r="E4" s="62">
        <v>8.73</v>
      </c>
      <c r="F4" s="62">
        <f>+E4</f>
        <v>8.73</v>
      </c>
      <c r="G4" s="254" t="s">
        <v>57</v>
      </c>
      <c r="H4" s="81"/>
      <c r="I4" s="81"/>
    </row>
    <row r="5" spans="1:10" x14ac:dyDescent="0.25">
      <c r="A5" s="208"/>
      <c r="B5" s="61">
        <v>2021</v>
      </c>
      <c r="C5" s="64">
        <v>27.53</v>
      </c>
      <c r="D5" s="64">
        <v>27.53</v>
      </c>
      <c r="E5" s="64">
        <v>27.53</v>
      </c>
      <c r="F5" s="64">
        <f>+E5</f>
        <v>27.53</v>
      </c>
      <c r="G5" s="254"/>
      <c r="H5" s="81"/>
      <c r="I5" s="81"/>
    </row>
    <row r="6" spans="1:10" x14ac:dyDescent="0.25">
      <c r="A6" s="208"/>
      <c r="B6" s="61">
        <v>2022</v>
      </c>
      <c r="C6" s="65">
        <v>19.100000000000001</v>
      </c>
      <c r="D6" s="65">
        <f>19.1+1.2</f>
        <v>20.3</v>
      </c>
      <c r="E6" s="65">
        <v>20.3</v>
      </c>
      <c r="F6" s="65" t="e">
        <f>+#REF!</f>
        <v>#REF!</v>
      </c>
      <c r="G6" s="254"/>
      <c r="H6" s="81"/>
      <c r="I6" s="81"/>
    </row>
    <row r="7" spans="1:10" x14ac:dyDescent="0.25">
      <c r="A7" s="208"/>
      <c r="B7" s="61">
        <v>2023</v>
      </c>
      <c r="C7" s="66">
        <v>16.5</v>
      </c>
      <c r="D7" s="66">
        <v>16.5</v>
      </c>
      <c r="E7" s="66">
        <v>28</v>
      </c>
      <c r="F7" s="66"/>
      <c r="G7" s="254"/>
      <c r="H7" s="81"/>
      <c r="I7" s="81">
        <f>+D7+D8</f>
        <v>23.64</v>
      </c>
      <c r="J7" s="82">
        <f>+E7-I7</f>
        <v>4.3599999999999994</v>
      </c>
    </row>
    <row r="8" spans="1:10" x14ac:dyDescent="0.25">
      <c r="A8" s="208"/>
      <c r="B8" s="61">
        <v>2024</v>
      </c>
      <c r="C8" s="66">
        <v>7.14</v>
      </c>
      <c r="D8" s="66">
        <v>7.14</v>
      </c>
      <c r="E8" s="66">
        <v>1</v>
      </c>
      <c r="F8" s="66"/>
      <c r="G8" s="254"/>
      <c r="H8" s="81"/>
      <c r="I8" s="81"/>
    </row>
    <row r="9" spans="1:10" x14ac:dyDescent="0.25">
      <c r="A9" s="208"/>
      <c r="B9" s="61" t="s">
        <v>34</v>
      </c>
      <c r="C9" s="67">
        <f>SUM(C4:C8)</f>
        <v>79.000000000000014</v>
      </c>
      <c r="D9" s="67">
        <f>SUM(D4:D8)</f>
        <v>80.2</v>
      </c>
      <c r="E9" s="67">
        <f>+E4+E5+E6+E7+E8</f>
        <v>85.56</v>
      </c>
      <c r="F9" s="67" t="e">
        <f>SUM(F4:F8)</f>
        <v>#REF!</v>
      </c>
      <c r="G9" s="83"/>
      <c r="H9" s="81"/>
      <c r="I9" s="81"/>
    </row>
    <row r="10" spans="1:10" x14ac:dyDescent="0.25">
      <c r="A10" s="84"/>
      <c r="B10" s="85"/>
      <c r="C10" s="86"/>
      <c r="D10" s="86"/>
      <c r="E10" s="86"/>
      <c r="F10" s="86"/>
      <c r="G10" s="81"/>
      <c r="H10" s="81"/>
      <c r="I10" s="81"/>
    </row>
    <row r="11" spans="1:10" x14ac:dyDescent="0.25">
      <c r="B11" s="78"/>
      <c r="C11" s="70" t="s">
        <v>53</v>
      </c>
      <c r="D11" s="70" t="s">
        <v>54</v>
      </c>
      <c r="E11" s="71"/>
      <c r="F11" s="71"/>
      <c r="G11" s="81"/>
      <c r="H11" s="81"/>
      <c r="I11" s="81"/>
    </row>
    <row r="12" spans="1:10" ht="38.25" x14ac:dyDescent="0.25">
      <c r="A12" s="53" t="s">
        <v>10</v>
      </c>
      <c r="B12" s="58" t="s">
        <v>41</v>
      </c>
      <c r="C12" s="60" t="s">
        <v>60</v>
      </c>
      <c r="D12" s="59" t="s">
        <v>43</v>
      </c>
      <c r="E12" s="54" t="s">
        <v>44</v>
      </c>
      <c r="F12" s="90" t="s">
        <v>63</v>
      </c>
      <c r="G12" s="79" t="s">
        <v>55</v>
      </c>
      <c r="H12" s="81"/>
      <c r="I12" s="81"/>
    </row>
    <row r="13" spans="1:10" x14ac:dyDescent="0.25">
      <c r="A13" s="208" t="s">
        <v>37</v>
      </c>
      <c r="B13" s="61">
        <v>2020</v>
      </c>
      <c r="C13" s="68">
        <v>228.54</v>
      </c>
      <c r="D13" s="68">
        <v>228.54</v>
      </c>
      <c r="E13" s="68">
        <v>228.54</v>
      </c>
      <c r="F13" s="68">
        <f>+E13</f>
        <v>228.54</v>
      </c>
      <c r="G13" s="254" t="s">
        <v>57</v>
      </c>
      <c r="H13" s="81"/>
      <c r="I13" s="81"/>
    </row>
    <row r="14" spans="1:10" x14ac:dyDescent="0.25">
      <c r="A14" s="208"/>
      <c r="B14" s="61">
        <v>2021</v>
      </c>
      <c r="C14" s="87">
        <v>380.8</v>
      </c>
      <c r="D14" s="87">
        <v>380.8</v>
      </c>
      <c r="E14" s="87">
        <v>380.8</v>
      </c>
      <c r="F14" s="87">
        <f>+E14</f>
        <v>380.8</v>
      </c>
      <c r="G14" s="254"/>
      <c r="H14" s="81"/>
      <c r="I14" s="81"/>
    </row>
    <row r="15" spans="1:10" x14ac:dyDescent="0.25">
      <c r="A15" s="208"/>
      <c r="B15" s="61">
        <v>2022</v>
      </c>
      <c r="C15" s="65">
        <f>440.55</f>
        <v>440.55</v>
      </c>
      <c r="D15" s="65">
        <f>440.55+7.2</f>
        <v>447.75</v>
      </c>
      <c r="E15" s="65">
        <v>447.75</v>
      </c>
      <c r="F15" s="65" t="e">
        <f>+#REF!</f>
        <v>#REF!</v>
      </c>
      <c r="G15" s="254"/>
      <c r="H15" s="81"/>
      <c r="I15" s="81"/>
    </row>
    <row r="16" spans="1:10" x14ac:dyDescent="0.25">
      <c r="A16" s="208"/>
      <c r="B16" s="61">
        <v>2023</v>
      </c>
      <c r="C16" s="66">
        <v>195.33</v>
      </c>
      <c r="D16" s="66">
        <v>195.33</v>
      </c>
      <c r="E16" s="65">
        <v>444.86</v>
      </c>
      <c r="F16" s="65"/>
      <c r="G16" s="254"/>
      <c r="H16" s="81"/>
      <c r="I16" s="81">
        <f>+D16+D17</f>
        <v>311.05</v>
      </c>
      <c r="J16" s="82">
        <f>+E16-I16</f>
        <v>133.81</v>
      </c>
    </row>
    <row r="17" spans="1:11" x14ac:dyDescent="0.25">
      <c r="A17" s="208"/>
      <c r="B17" s="61">
        <v>2024</v>
      </c>
      <c r="C17" s="66">
        <f>125-9.28</f>
        <v>115.72</v>
      </c>
      <c r="D17" s="66">
        <f>125-9.28</f>
        <v>115.72</v>
      </c>
      <c r="E17" s="66">
        <v>1</v>
      </c>
      <c r="F17" s="66"/>
      <c r="G17" s="254"/>
      <c r="H17" s="81"/>
      <c r="I17" s="81"/>
    </row>
    <row r="18" spans="1:11" x14ac:dyDescent="0.25">
      <c r="A18" s="208"/>
      <c r="B18" s="61" t="s">
        <v>34</v>
      </c>
      <c r="C18" s="67">
        <f>SUM(C13:C17)</f>
        <v>1360.94</v>
      </c>
      <c r="D18" s="67">
        <f>SUM(D13:D17)</f>
        <v>1368.14</v>
      </c>
      <c r="E18" s="67">
        <f>+E13+E14+E15+E16+E17</f>
        <v>1502.9500000000003</v>
      </c>
      <c r="F18" s="67"/>
      <c r="G18" s="83"/>
      <c r="H18" s="81"/>
      <c r="I18" s="81"/>
      <c r="J18" s="82"/>
    </row>
    <row r="19" spans="1:11" x14ac:dyDescent="0.25">
      <c r="A19" s="84"/>
      <c r="B19" s="85"/>
      <c r="C19" s="86"/>
      <c r="E19" s="88">
        <v>29.7</v>
      </c>
      <c r="F19" s="88"/>
      <c r="G19" s="89">
        <f>+E15-E19</f>
        <v>418.05</v>
      </c>
      <c r="H19" s="81"/>
      <c r="I19" s="81"/>
    </row>
    <row r="20" spans="1:11" x14ac:dyDescent="0.25">
      <c r="A20" s="84"/>
      <c r="B20" s="78"/>
      <c r="C20" s="70" t="s">
        <v>53</v>
      </c>
      <c r="D20" s="70" t="s">
        <v>54</v>
      </c>
      <c r="E20" s="71"/>
      <c r="F20" s="71"/>
      <c r="G20" s="81"/>
      <c r="H20" s="81"/>
      <c r="I20" s="81"/>
    </row>
    <row r="21" spans="1:11" ht="38.25" x14ac:dyDescent="0.25">
      <c r="A21" s="53" t="s">
        <v>10</v>
      </c>
      <c r="B21" s="58" t="s">
        <v>41</v>
      </c>
      <c r="C21" s="61" t="s">
        <v>60</v>
      </c>
      <c r="D21" s="59" t="s">
        <v>43</v>
      </c>
      <c r="E21" s="54" t="s">
        <v>44</v>
      </c>
      <c r="F21" s="90"/>
      <c r="G21" s="79" t="s">
        <v>55</v>
      </c>
      <c r="H21" s="81"/>
      <c r="I21" s="81"/>
    </row>
    <row r="22" spans="1:11" ht="15" customHeight="1" x14ac:dyDescent="0.25">
      <c r="A22" s="208" t="s">
        <v>38</v>
      </c>
      <c r="B22" s="61">
        <v>2020</v>
      </c>
      <c r="C22" s="87">
        <v>14.11</v>
      </c>
      <c r="D22" s="87">
        <v>14.11</v>
      </c>
      <c r="E22" s="87">
        <v>14.11</v>
      </c>
      <c r="F22" s="87">
        <f>+E22</f>
        <v>14.11</v>
      </c>
      <c r="G22" s="254" t="s">
        <v>57</v>
      </c>
      <c r="H22" s="81"/>
      <c r="I22" s="81"/>
    </row>
    <row r="23" spans="1:11" ht="15" customHeight="1" x14ac:dyDescent="0.25">
      <c r="A23" s="208"/>
      <c r="B23" s="61">
        <v>2021</v>
      </c>
      <c r="C23" s="87">
        <v>19.54</v>
      </c>
      <c r="D23" s="87">
        <v>19.54</v>
      </c>
      <c r="E23" s="87">
        <v>19.54</v>
      </c>
      <c r="F23" s="87">
        <f>+E23</f>
        <v>19.54</v>
      </c>
      <c r="G23" s="254"/>
      <c r="H23" s="81"/>
      <c r="I23" s="81"/>
    </row>
    <row r="24" spans="1:11" ht="15" customHeight="1" x14ac:dyDescent="0.25">
      <c r="A24" s="208"/>
      <c r="B24" s="61">
        <v>2022</v>
      </c>
      <c r="C24" s="65">
        <v>14.57</v>
      </c>
      <c r="D24" s="65">
        <v>29</v>
      </c>
      <c r="E24" s="65">
        <v>29</v>
      </c>
      <c r="F24" s="65" t="e">
        <f>+#REF!</f>
        <v>#REF!</v>
      </c>
      <c r="G24" s="254"/>
      <c r="H24" s="81"/>
      <c r="I24" s="81">
        <f>+D24-C24</f>
        <v>14.43</v>
      </c>
      <c r="J24" s="77">
        <v>7.63</v>
      </c>
      <c r="K24" s="77">
        <v>6.94</v>
      </c>
    </row>
    <row r="25" spans="1:11" ht="15" customHeight="1" x14ac:dyDescent="0.25">
      <c r="A25" s="208"/>
      <c r="B25" s="61">
        <v>2023</v>
      </c>
      <c r="C25" s="66">
        <v>20</v>
      </c>
      <c r="D25" s="66">
        <v>20</v>
      </c>
      <c r="E25" s="66">
        <v>20</v>
      </c>
      <c r="F25" s="66"/>
      <c r="G25" s="254"/>
      <c r="H25" s="81"/>
      <c r="I25" s="81">
        <f>10.12</f>
        <v>10.119999999999999</v>
      </c>
      <c r="J25" s="81">
        <v>7.54</v>
      </c>
      <c r="K25" s="81">
        <v>4.34</v>
      </c>
    </row>
    <row r="26" spans="1:11" ht="15" customHeight="1" x14ac:dyDescent="0.25">
      <c r="A26" s="208"/>
      <c r="B26" s="61">
        <v>2024</v>
      </c>
      <c r="C26" s="66">
        <v>11.78</v>
      </c>
      <c r="D26" s="66">
        <v>11.78</v>
      </c>
      <c r="E26" s="66">
        <v>11.78</v>
      </c>
      <c r="F26" s="66"/>
      <c r="G26" s="254"/>
      <c r="H26" s="81"/>
      <c r="I26" s="81"/>
    </row>
    <row r="27" spans="1:11" ht="15" customHeight="1" x14ac:dyDescent="0.25">
      <c r="A27" s="208"/>
      <c r="B27" s="61" t="s">
        <v>34</v>
      </c>
      <c r="C27" s="67">
        <f>SUM(C22:C26)</f>
        <v>80</v>
      </c>
      <c r="D27" s="67">
        <f>SUM(D22:D26)</f>
        <v>94.43</v>
      </c>
      <c r="E27" s="67">
        <f>SUM(E22:E26)</f>
        <v>94.43</v>
      </c>
      <c r="F27" s="67"/>
      <c r="G27" s="83"/>
      <c r="H27" s="81"/>
      <c r="I27" s="81"/>
    </row>
    <row r="28" spans="1:11" ht="15" customHeight="1" x14ac:dyDescent="0.25">
      <c r="A28" s="84"/>
      <c r="B28" s="85"/>
      <c r="C28" s="86"/>
      <c r="D28" s="86"/>
      <c r="E28" s="86"/>
      <c r="F28" s="86"/>
      <c r="G28" s="81"/>
      <c r="H28" s="81"/>
      <c r="I28" s="81"/>
    </row>
    <row r="29" spans="1:11" x14ac:dyDescent="0.25">
      <c r="A29" s="84"/>
      <c r="B29" s="78"/>
      <c r="C29" s="70" t="s">
        <v>53</v>
      </c>
      <c r="D29" s="70" t="s">
        <v>54</v>
      </c>
      <c r="E29" s="71"/>
      <c r="F29" s="71"/>
      <c r="G29" s="81"/>
      <c r="H29" s="81"/>
      <c r="I29" s="81"/>
    </row>
    <row r="30" spans="1:11" ht="38.25" x14ac:dyDescent="0.25">
      <c r="A30" s="53" t="s">
        <v>10</v>
      </c>
      <c r="B30" s="58" t="s">
        <v>41</v>
      </c>
      <c r="C30" s="61" t="s">
        <v>60</v>
      </c>
      <c r="D30" s="59" t="s">
        <v>43</v>
      </c>
      <c r="E30" s="54" t="s">
        <v>44</v>
      </c>
      <c r="F30" s="90"/>
      <c r="G30" s="79" t="s">
        <v>55</v>
      </c>
      <c r="H30" s="81"/>
      <c r="I30" s="81"/>
    </row>
    <row r="31" spans="1:11" ht="15" customHeight="1" x14ac:dyDescent="0.25">
      <c r="A31" s="208" t="s">
        <v>61</v>
      </c>
      <c r="B31" s="61">
        <v>2020</v>
      </c>
      <c r="C31" s="68">
        <v>2.7</v>
      </c>
      <c r="D31" s="87">
        <v>2.7</v>
      </c>
      <c r="E31" s="87">
        <v>2.7</v>
      </c>
      <c r="F31" s="87">
        <f>+E31</f>
        <v>2.7</v>
      </c>
      <c r="G31" s="254" t="s">
        <v>57</v>
      </c>
      <c r="H31" s="81"/>
      <c r="I31" s="81"/>
    </row>
    <row r="32" spans="1:11" ht="15" customHeight="1" x14ac:dyDescent="0.25">
      <c r="A32" s="208"/>
      <c r="B32" s="61">
        <v>2021</v>
      </c>
      <c r="C32" s="87">
        <v>7.18</v>
      </c>
      <c r="D32" s="87">
        <v>7.18</v>
      </c>
      <c r="E32" s="87">
        <v>7.18</v>
      </c>
      <c r="F32" s="87">
        <f>+E32</f>
        <v>7.18</v>
      </c>
      <c r="G32" s="254"/>
      <c r="H32" s="81"/>
      <c r="I32" s="81"/>
    </row>
    <row r="33" spans="1:9" ht="15" customHeight="1" x14ac:dyDescent="0.25">
      <c r="A33" s="208"/>
      <c r="B33" s="61">
        <v>2022</v>
      </c>
      <c r="C33" s="65">
        <v>9.5</v>
      </c>
      <c r="D33" s="65">
        <v>9.5</v>
      </c>
      <c r="E33" s="65">
        <v>9.5</v>
      </c>
      <c r="F33" s="65" t="e">
        <f>+#REF!</f>
        <v>#REF!</v>
      </c>
      <c r="G33" s="254"/>
      <c r="H33" s="81"/>
      <c r="I33" s="81"/>
    </row>
    <row r="34" spans="1:9" ht="15" customHeight="1" x14ac:dyDescent="0.25">
      <c r="A34" s="208"/>
      <c r="B34" s="61">
        <v>2023</v>
      </c>
      <c r="C34" s="66">
        <v>9</v>
      </c>
      <c r="D34" s="66">
        <v>9</v>
      </c>
      <c r="E34" s="66">
        <v>10</v>
      </c>
      <c r="F34" s="66"/>
      <c r="G34" s="254"/>
      <c r="H34" s="81"/>
      <c r="I34" s="81"/>
    </row>
    <row r="35" spans="1:9" ht="15" customHeight="1" x14ac:dyDescent="0.25">
      <c r="A35" s="208"/>
      <c r="B35" s="61">
        <v>2024</v>
      </c>
      <c r="C35" s="66">
        <v>5.62</v>
      </c>
      <c r="D35" s="66">
        <v>5.62</v>
      </c>
      <c r="E35" s="66">
        <v>4.62</v>
      </c>
      <c r="F35" s="66"/>
      <c r="G35" s="254"/>
      <c r="H35" s="81"/>
      <c r="I35" s="81"/>
    </row>
    <row r="36" spans="1:9" ht="15" customHeight="1" x14ac:dyDescent="0.25">
      <c r="A36" s="208"/>
      <c r="B36" s="61" t="s">
        <v>34</v>
      </c>
      <c r="C36" s="67"/>
      <c r="D36" s="67">
        <f>SUM(D31:D35)</f>
        <v>34</v>
      </c>
      <c r="E36" s="67">
        <f>SUM(E31:E35)</f>
        <v>34</v>
      </c>
      <c r="F36" s="67"/>
      <c r="G36" s="83"/>
      <c r="H36" s="81"/>
      <c r="I36" s="81"/>
    </row>
    <row r="37" spans="1:9" ht="15" customHeight="1" x14ac:dyDescent="0.25">
      <c r="A37" s="84"/>
      <c r="B37" s="85"/>
      <c r="C37" s="86"/>
      <c r="D37" s="86"/>
      <c r="E37" s="86"/>
      <c r="F37" s="86"/>
      <c r="G37" s="81"/>
      <c r="H37" s="81"/>
      <c r="I37" s="81"/>
    </row>
    <row r="38" spans="1:9" ht="15" customHeight="1" x14ac:dyDescent="0.25">
      <c r="A38" s="84"/>
      <c r="B38" s="85"/>
      <c r="C38" s="86"/>
      <c r="D38" s="86"/>
      <c r="E38" s="86"/>
      <c r="F38" s="86"/>
      <c r="G38" s="81"/>
      <c r="H38" s="81"/>
      <c r="I38" s="81"/>
    </row>
    <row r="39" spans="1:9" s="56" customFormat="1" ht="38.25" x14ac:dyDescent="0.25">
      <c r="A39" s="53" t="s">
        <v>10</v>
      </c>
      <c r="B39" s="58" t="s">
        <v>41</v>
      </c>
      <c r="C39" s="54" t="s">
        <v>42</v>
      </c>
      <c r="D39" s="59" t="s">
        <v>43</v>
      </c>
      <c r="E39" s="54" t="s">
        <v>44</v>
      </c>
      <c r="F39" s="90"/>
      <c r="G39" s="60" t="s">
        <v>55</v>
      </c>
    </row>
    <row r="40" spans="1:9" s="56" customFormat="1" ht="15" customHeight="1" x14ac:dyDescent="0.25">
      <c r="A40" s="208" t="s">
        <v>62</v>
      </c>
      <c r="B40" s="61">
        <v>2020</v>
      </c>
      <c r="C40" s="65"/>
      <c r="D40" s="66"/>
      <c r="E40" s="66"/>
      <c r="F40" s="66"/>
      <c r="G40" s="63"/>
    </row>
    <row r="41" spans="1:9" s="56" customFormat="1" ht="75" x14ac:dyDescent="0.25">
      <c r="A41" s="208"/>
      <c r="B41" s="61">
        <v>2021</v>
      </c>
      <c r="C41" s="72">
        <v>30000</v>
      </c>
      <c r="D41" s="62">
        <v>31159.599999999999</v>
      </c>
      <c r="E41" s="73">
        <v>31159.599999999999</v>
      </c>
      <c r="F41" s="73">
        <f>+E41</f>
        <v>31159.599999999999</v>
      </c>
      <c r="G41" s="63" t="s">
        <v>57</v>
      </c>
    </row>
    <row r="42" spans="1:9" s="56" customFormat="1" x14ac:dyDescent="0.25">
      <c r="A42" s="208"/>
      <c r="B42" s="61">
        <v>2022</v>
      </c>
      <c r="C42" s="74">
        <v>45000</v>
      </c>
      <c r="D42" s="75">
        <v>45000</v>
      </c>
      <c r="E42" s="75">
        <v>50800</v>
      </c>
      <c r="F42" s="93" t="e">
        <f>+#REF!</f>
        <v>#REF!</v>
      </c>
      <c r="G42" s="63"/>
    </row>
    <row r="43" spans="1:9" s="56" customFormat="1" x14ac:dyDescent="0.25">
      <c r="A43" s="208"/>
      <c r="B43" s="61">
        <v>2023</v>
      </c>
      <c r="C43" s="75">
        <v>20000</v>
      </c>
      <c r="D43" s="75">
        <v>20000</v>
      </c>
      <c r="E43" s="75">
        <v>30000</v>
      </c>
      <c r="F43" s="75"/>
      <c r="G43" s="63"/>
    </row>
    <row r="44" spans="1:9" s="56" customFormat="1" x14ac:dyDescent="0.25">
      <c r="A44" s="208"/>
      <c r="B44" s="61">
        <v>2024</v>
      </c>
      <c r="C44" s="65">
        <v>3840.4</v>
      </c>
      <c r="D44" s="73">
        <v>3840.4</v>
      </c>
      <c r="E44" s="73">
        <v>4540.3999999999996</v>
      </c>
      <c r="F44" s="73"/>
      <c r="G44" s="63"/>
    </row>
    <row r="45" spans="1:9" s="56" customFormat="1" ht="38.25" x14ac:dyDescent="0.25">
      <c r="A45" s="208"/>
      <c r="B45" s="61" t="s">
        <v>34</v>
      </c>
      <c r="C45" s="66"/>
      <c r="D45" s="73">
        <f>SUM(D40:D44)</f>
        <v>100000</v>
      </c>
      <c r="E45" s="73">
        <f>SUM(E41:E44)</f>
        <v>116500</v>
      </c>
      <c r="F45" s="73"/>
      <c r="G45" s="76" t="s">
        <v>58</v>
      </c>
    </row>
  </sheetData>
  <mergeCells count="10">
    <mergeCell ref="A31:A36"/>
    <mergeCell ref="G31:G35"/>
    <mergeCell ref="A40:A45"/>
    <mergeCell ref="A1:G1"/>
    <mergeCell ref="A4:A9"/>
    <mergeCell ref="G4:G8"/>
    <mergeCell ref="A13:A18"/>
    <mergeCell ref="G13:G17"/>
    <mergeCell ref="A22:A27"/>
    <mergeCell ref="G22:G26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D2025AEA7C8D94C97BA62E0512B2D1C" ma:contentTypeVersion="12" ma:contentTypeDescription="Crear nuevo documento." ma:contentTypeScope="" ma:versionID="76a30c701d02f9bcec65aa902e9fbad7">
  <xsd:schema xmlns:xsd="http://www.w3.org/2001/XMLSchema" xmlns:xs="http://www.w3.org/2001/XMLSchema" xmlns:p="http://schemas.microsoft.com/office/2006/metadata/properties" xmlns:ns3="526206cb-a30c-4d8a-bea6-402fa0cecb75" xmlns:ns4="f83a8e69-8788-4654-9648-2b4ae57b9a8c" targetNamespace="http://schemas.microsoft.com/office/2006/metadata/properties" ma:root="true" ma:fieldsID="2d023de0bce537968c4192fdf44d101a" ns3:_="" ns4:_="">
    <xsd:import namespace="526206cb-a30c-4d8a-bea6-402fa0cecb75"/>
    <xsd:import namespace="f83a8e69-8788-4654-9648-2b4ae57b9a8c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6206cb-a30c-4d8a-bea6-402fa0cecb7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3a8e69-8788-4654-9648-2b4ae57b9a8c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43B36BA-E86E-49BF-AF9B-E8F9DEE24994}">
  <ds:schemaRefs>
    <ds:schemaRef ds:uri="http://purl.org/dc/terms/"/>
    <ds:schemaRef ds:uri="http://schemas.openxmlformats.org/package/2006/metadata/core-properties"/>
    <ds:schemaRef ds:uri="f83a8e69-8788-4654-9648-2b4ae57b9a8c"/>
    <ds:schemaRef ds:uri="http://schemas.microsoft.com/office/2006/documentManagement/types"/>
    <ds:schemaRef ds:uri="526206cb-a30c-4d8a-bea6-402fa0cecb75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75F78386-B188-40AF-BD89-B101F96458C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5F551EA-D708-4175-97F4-B7E36017DE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26206cb-a30c-4d8a-bea6-402fa0cecb75"/>
    <ds:schemaRef ds:uri="f83a8e69-8788-4654-9648-2b4ae57b9a8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10</vt:i4>
      </vt:variant>
    </vt:vector>
  </HeadingPairs>
  <TitlesOfParts>
    <vt:vector size="10" baseType="lpstr">
      <vt:lpstr>Metas PDD y proyectos</vt:lpstr>
      <vt:lpstr>Metas PDD y proyectos (2)</vt:lpstr>
      <vt:lpstr>Hoja3</vt:lpstr>
      <vt:lpstr>Metas PDD y proyectos Oct Secto</vt:lpstr>
      <vt:lpstr>Meta_Recursos_Ciclo</vt:lpstr>
      <vt:lpstr>Hoja2</vt:lpstr>
      <vt:lpstr>Metas PDD y proyectos DIC (2)</vt:lpstr>
      <vt:lpstr>Hoja1</vt:lpstr>
      <vt:lpstr>Inversión</vt:lpstr>
      <vt:lpstr>Gestión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Johanna Alejandra Merchán Garzón</dc:creator>
  <cp:lastModifiedBy>Reybaquero</cp:lastModifiedBy>
  <dcterms:created xsi:type="dcterms:W3CDTF">2021-07-27T18:58:02Z</dcterms:created>
  <dcterms:modified xsi:type="dcterms:W3CDTF">2025-07-22T21:26:33Z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0x0101003D2025AEA7C8D94C97BA62E0512B2D1C</vt:lpwstr>
  </property>
</Properties>
</file>